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ЭтаКнига" defaultThemeVersion="124226"/>
  <bookViews>
    <workbookView xWindow="120" yWindow="105" windowWidth="15120" windowHeight="8010" firstSheet="1" activeTab="3"/>
  </bookViews>
  <sheets>
    <sheet name="20 год" sheetId="7" r:id="rId1"/>
    <sheet name="25-27года для ГРБС (первое  (2)" sheetId="15" r:id="rId2"/>
    <sheet name="25-27года для ГРБС (первое чтен" sheetId="14" r:id="rId3"/>
    <sheet name="25-27года уточн. ГРБСЧ 1 ЧТ. " sheetId="13" r:id="rId4"/>
    <sheet name="23-25года с федеральными" sheetId="11" r:id="rId5"/>
    <sheet name="22-25года 1 чтение)" sheetId="10" r:id="rId6"/>
    <sheet name="22-24года +" sheetId="9" r:id="rId7"/>
  </sheets>
  <definedNames>
    <definedName name="_xlnm._FilterDatabase" localSheetId="4" hidden="1">'23-25года с федеральными'!$A$3:$AC$3</definedName>
    <definedName name="_xlnm._FilterDatabase" localSheetId="1" hidden="1">'25-27года для ГРБС (первое  (2)'!$A$4:$AQ$90</definedName>
    <definedName name="_xlnm._FilterDatabase" localSheetId="2" hidden="1">'25-27года для ГРБС (первое чтен'!$A$4:$AQ$90</definedName>
    <definedName name="_xlnm._FilterDatabase" localSheetId="3" hidden="1">'25-27года уточн. ГРБСЧ 1 ЧТ. '!$A$4:$AL$89</definedName>
    <definedName name="_xlnm.Print_Titles" localSheetId="0">'20 год'!$A:$E</definedName>
    <definedName name="_xlnm.Print_Titles" localSheetId="6">'22-24года +'!$A:$E</definedName>
    <definedName name="_xlnm.Print_Titles" localSheetId="5">'22-25года 1 чтение)'!$A:$E</definedName>
    <definedName name="_xlnm.Print_Titles" localSheetId="4">'23-25года с федеральными'!$A:$E,'23-25года с федеральными'!$4:$4</definedName>
    <definedName name="_xlnm.Print_Titles" localSheetId="1">'25-27года для ГРБС (первое  (2)'!$A:$E,'25-27года для ГРБС (первое  (2)'!$4:$4</definedName>
    <definedName name="_xlnm.Print_Titles" localSheetId="2">'25-27года для ГРБС (первое чтен'!$A:$E,'25-27года для ГРБС (первое чтен'!$4:$4</definedName>
    <definedName name="_xlnm.Print_Titles" localSheetId="3">'25-27года уточн. ГРБСЧ 1 ЧТ. '!$A:$E,'25-27года уточн. ГРБСЧ 1 ЧТ. '!$4:$4</definedName>
  </definedNames>
  <calcPr calcId="125725"/>
</workbook>
</file>

<file path=xl/calcChain.xml><?xml version="1.0" encoding="utf-8"?>
<calcChain xmlns="http://schemas.openxmlformats.org/spreadsheetml/2006/main">
  <c r="X7" i="15"/>
  <c r="X8"/>
  <c r="X9"/>
  <c r="X10"/>
  <c r="X11"/>
  <c r="X12"/>
  <c r="X14"/>
  <c r="X16"/>
  <c r="X17"/>
  <c r="X18"/>
  <c r="X21"/>
  <c r="X22"/>
  <c r="X23"/>
  <c r="X24"/>
  <c r="X26"/>
  <c r="X27"/>
  <c r="X28"/>
  <c r="X29"/>
  <c r="X32"/>
  <c r="X33"/>
  <c r="X34"/>
  <c r="X36"/>
  <c r="X37"/>
  <c r="X38"/>
  <c r="X39"/>
  <c r="X40"/>
  <c r="X41"/>
  <c r="X42"/>
  <c r="X43"/>
  <c r="X44"/>
  <c r="X45"/>
  <c r="X47"/>
  <c r="X48"/>
  <c r="X49"/>
  <c r="AO90"/>
  <c r="AN90"/>
  <c r="AM90"/>
  <c r="AL90"/>
  <c r="AK90"/>
  <c r="AJ90"/>
  <c r="AH90"/>
  <c r="AG90"/>
  <c r="AF90"/>
  <c r="AD90"/>
  <c r="R90"/>
  <c r="P90"/>
  <c r="O90"/>
  <c r="N90"/>
  <c r="K90"/>
  <c r="J90"/>
  <c r="I90"/>
  <c r="H90"/>
  <c r="AO89"/>
  <c r="AN89"/>
  <c r="AM89"/>
  <c r="AK89"/>
  <c r="AJ89"/>
  <c r="AG89"/>
  <c r="AF89"/>
  <c r="AD89"/>
  <c r="R89"/>
  <c r="P89"/>
  <c r="O89"/>
  <c r="N89"/>
  <c r="K89"/>
  <c r="J89"/>
  <c r="I89"/>
  <c r="H89"/>
  <c r="AO88"/>
  <c r="AN88"/>
  <c r="AM88"/>
  <c r="AL88"/>
  <c r="AK88"/>
  <c r="AJ88"/>
  <c r="AH88"/>
  <c r="AF88"/>
  <c r="AD88"/>
  <c r="R88"/>
  <c r="P88"/>
  <c r="O88"/>
  <c r="N88"/>
  <c r="K88"/>
  <c r="J88"/>
  <c r="I88"/>
  <c r="H88"/>
  <c r="AO87"/>
  <c r="AN87"/>
  <c r="AL87"/>
  <c r="AK87"/>
  <c r="AJ87"/>
  <c r="AH87"/>
  <c r="AG87"/>
  <c r="AF87"/>
  <c r="AE87"/>
  <c r="AD87"/>
  <c r="R87"/>
  <c r="P87"/>
  <c r="O87"/>
  <c r="N87"/>
  <c r="K87"/>
  <c r="J87"/>
  <c r="H87"/>
  <c r="AO86"/>
  <c r="AN86"/>
  <c r="AN92" s="1"/>
  <c r="AM86"/>
  <c r="AL86"/>
  <c r="AK86"/>
  <c r="AJ86"/>
  <c r="AJ92" s="1"/>
  <c r="AH86"/>
  <c r="AG86"/>
  <c r="AF86"/>
  <c r="AF92" s="1"/>
  <c r="AE86"/>
  <c r="AD86"/>
  <c r="AD97" s="1"/>
  <c r="R86"/>
  <c r="R92" s="1"/>
  <c r="P86"/>
  <c r="O86"/>
  <c r="N86"/>
  <c r="K86"/>
  <c r="K92" s="1"/>
  <c r="H86"/>
  <c r="H92" s="1"/>
  <c r="AO85"/>
  <c r="AN85"/>
  <c r="AN97" s="1"/>
  <c r="AM85"/>
  <c r="AL85"/>
  <c r="AK85"/>
  <c r="AJ85"/>
  <c r="AJ97" s="1"/>
  <c r="AI85"/>
  <c r="AH85"/>
  <c r="AG85"/>
  <c r="AF85"/>
  <c r="AF97" s="1"/>
  <c r="AD85"/>
  <c r="AD92" s="1"/>
  <c r="Y85"/>
  <c r="R85"/>
  <c r="R97" s="1"/>
  <c r="P85"/>
  <c r="O85"/>
  <c r="L85"/>
  <c r="Y82"/>
  <c r="X82"/>
  <c r="W82"/>
  <c r="V82"/>
  <c r="U82"/>
  <c r="T82"/>
  <c r="T78" s="1"/>
  <c r="S82"/>
  <c r="E82"/>
  <c r="F82" s="1"/>
  <c r="G82" s="1"/>
  <c r="C82"/>
  <c r="Z81"/>
  <c r="AA81" s="1"/>
  <c r="AB81" s="1"/>
  <c r="Y81"/>
  <c r="X81"/>
  <c r="W81"/>
  <c r="V81"/>
  <c r="Y80"/>
  <c r="X80"/>
  <c r="W80"/>
  <c r="V80"/>
  <c r="U80"/>
  <c r="U78" s="1"/>
  <c r="S80"/>
  <c r="E80"/>
  <c r="F80" s="1"/>
  <c r="G80" s="1"/>
  <c r="C80"/>
  <c r="Z79"/>
  <c r="AA79" s="1"/>
  <c r="AB79" s="1"/>
  <c r="Y79"/>
  <c r="X79"/>
  <c r="W79"/>
  <c r="V79"/>
  <c r="T79"/>
  <c r="Q79"/>
  <c r="AO78"/>
  <c r="AN78"/>
  <c r="Y78" s="1"/>
  <c r="AM78"/>
  <c r="AL78"/>
  <c r="AK78"/>
  <c r="V78" s="1"/>
  <c r="AJ78"/>
  <c r="AI78"/>
  <c r="AH78"/>
  <c r="AG78"/>
  <c r="AF78"/>
  <c r="AE78"/>
  <c r="AD78"/>
  <c r="X78"/>
  <c r="S78"/>
  <c r="R78"/>
  <c r="Q78"/>
  <c r="AA77"/>
  <c r="AB77" s="1"/>
  <c r="Y77"/>
  <c r="X77"/>
  <c r="Z77" s="1"/>
  <c r="W77"/>
  <c r="V77"/>
  <c r="Z76"/>
  <c r="AA76" s="1"/>
  <c r="AB76" s="1"/>
  <c r="Y76"/>
  <c r="X76"/>
  <c r="W76"/>
  <c r="W71" s="1"/>
  <c r="X71" s="1"/>
  <c r="V76"/>
  <c r="U76"/>
  <c r="T76"/>
  <c r="AI75"/>
  <c r="AI86" s="1"/>
  <c r="Y75"/>
  <c r="Z75" s="1"/>
  <c r="AA75" s="1"/>
  <c r="AB75" s="1"/>
  <c r="X75"/>
  <c r="W75"/>
  <c r="V75"/>
  <c r="U75"/>
  <c r="T75"/>
  <c r="S75"/>
  <c r="Q75"/>
  <c r="F75"/>
  <c r="G75" s="1"/>
  <c r="E75"/>
  <c r="C75"/>
  <c r="AI74"/>
  <c r="AI71" s="1"/>
  <c r="AG74"/>
  <c r="T74" s="1"/>
  <c r="Y74"/>
  <c r="X74"/>
  <c r="W74"/>
  <c r="V74"/>
  <c r="U74"/>
  <c r="U71" s="1"/>
  <c r="S74"/>
  <c r="Q74"/>
  <c r="M74"/>
  <c r="L74"/>
  <c r="F74"/>
  <c r="G74" s="1"/>
  <c r="AG73"/>
  <c r="AA73"/>
  <c r="Y73"/>
  <c r="X73"/>
  <c r="V73"/>
  <c r="U73"/>
  <c r="S73"/>
  <c r="S71" s="1"/>
  <c r="Q73"/>
  <c r="Q71" s="1"/>
  <c r="L73"/>
  <c r="Y72"/>
  <c r="AA72" s="1"/>
  <c r="X72"/>
  <c r="V72"/>
  <c r="V71" s="1"/>
  <c r="T72"/>
  <c r="AO71"/>
  <c r="AN71"/>
  <c r="AM71"/>
  <c r="AL71"/>
  <c r="AK71"/>
  <c r="AJ71"/>
  <c r="AH71"/>
  <c r="AF71"/>
  <c r="AE71"/>
  <c r="AD71"/>
  <c r="AC71"/>
  <c r="R71"/>
  <c r="L71"/>
  <c r="AA70"/>
  <c r="X70"/>
  <c r="U70"/>
  <c r="S70"/>
  <c r="Q70"/>
  <c r="L70"/>
  <c r="M70" s="1"/>
  <c r="G70"/>
  <c r="F70"/>
  <c r="Y69"/>
  <c r="AA69" s="1"/>
  <c r="V69"/>
  <c r="X69" s="1"/>
  <c r="U69"/>
  <c r="T69"/>
  <c r="S69"/>
  <c r="Q69"/>
  <c r="L69"/>
  <c r="G69"/>
  <c r="F69"/>
  <c r="Y68"/>
  <c r="AA68" s="1"/>
  <c r="V68"/>
  <c r="X68" s="1"/>
  <c r="U68"/>
  <c r="T68"/>
  <c r="S68"/>
  <c r="Q68"/>
  <c r="AO67"/>
  <c r="AM67"/>
  <c r="AM87" s="1"/>
  <c r="AM97" s="1"/>
  <c r="AI67"/>
  <c r="AA67"/>
  <c r="Y67"/>
  <c r="Y87" s="1"/>
  <c r="V67"/>
  <c r="U67"/>
  <c r="S67"/>
  <c r="S87" s="1"/>
  <c r="Q67"/>
  <c r="M67"/>
  <c r="M87" s="1"/>
  <c r="L67"/>
  <c r="L87" s="1"/>
  <c r="I67"/>
  <c r="I87" s="1"/>
  <c r="F67"/>
  <c r="G67" s="1"/>
  <c r="AI66"/>
  <c r="Y66"/>
  <c r="AA66" s="1"/>
  <c r="V66"/>
  <c r="X66" s="1"/>
  <c r="U66"/>
  <c r="T66"/>
  <c r="S66"/>
  <c r="Q66"/>
  <c r="L66"/>
  <c r="M66" s="1"/>
  <c r="G66"/>
  <c r="F66"/>
  <c r="AI65"/>
  <c r="T65" s="1"/>
  <c r="Y65"/>
  <c r="AA65" s="1"/>
  <c r="V65"/>
  <c r="X65" s="1"/>
  <c r="U65"/>
  <c r="S65"/>
  <c r="Q65"/>
  <c r="L65"/>
  <c r="M65" s="1"/>
  <c r="F65"/>
  <c r="G65" s="1"/>
  <c r="AI64"/>
  <c r="T64" s="1"/>
  <c r="Y64"/>
  <c r="AA64" s="1"/>
  <c r="V64"/>
  <c r="X64" s="1"/>
  <c r="U64"/>
  <c r="S64"/>
  <c r="Q64"/>
  <c r="L64"/>
  <c r="M64" s="1"/>
  <c r="F64"/>
  <c r="G64" s="1"/>
  <c r="AE63"/>
  <c r="Y63"/>
  <c r="AA63" s="1"/>
  <c r="V63"/>
  <c r="X63" s="1"/>
  <c r="U63"/>
  <c r="T63"/>
  <c r="S63"/>
  <c r="Q63"/>
  <c r="L63"/>
  <c r="M63" s="1"/>
  <c r="G63"/>
  <c r="F63"/>
  <c r="Y62"/>
  <c r="AA62" s="1"/>
  <c r="X62"/>
  <c r="V62"/>
  <c r="U62"/>
  <c r="T62"/>
  <c r="S62"/>
  <c r="Q62"/>
  <c r="L62"/>
  <c r="M62" s="1"/>
  <c r="F62"/>
  <c r="G62" s="1"/>
  <c r="Y61"/>
  <c r="AA61" s="1"/>
  <c r="V61"/>
  <c r="X61" s="1"/>
  <c r="U61"/>
  <c r="T61"/>
  <c r="S61"/>
  <c r="Q61"/>
  <c r="L61"/>
  <c r="M61" s="1"/>
  <c r="G61"/>
  <c r="F61"/>
  <c r="Y60"/>
  <c r="AA60" s="1"/>
  <c r="X60"/>
  <c r="V60"/>
  <c r="U60"/>
  <c r="T60"/>
  <c r="S60"/>
  <c r="Q60"/>
  <c r="Y59"/>
  <c r="AA59" s="1"/>
  <c r="V59"/>
  <c r="X59" s="1"/>
  <c r="U59"/>
  <c r="T59"/>
  <c r="S59"/>
  <c r="Q59"/>
  <c r="Y58"/>
  <c r="AA58" s="1"/>
  <c r="V58"/>
  <c r="X58" s="1"/>
  <c r="U58"/>
  <c r="T58"/>
  <c r="S58"/>
  <c r="Q58"/>
  <c r="L58"/>
  <c r="M58" s="1"/>
  <c r="G58"/>
  <c r="F58"/>
  <c r="Y57"/>
  <c r="AA57" s="1"/>
  <c r="X57"/>
  <c r="V57"/>
  <c r="U57"/>
  <c r="T57"/>
  <c r="T86" s="1"/>
  <c r="S57"/>
  <c r="S86" s="1"/>
  <c r="Q57"/>
  <c r="L57"/>
  <c r="M57" s="1"/>
  <c r="F57"/>
  <c r="G57" s="1"/>
  <c r="Y56"/>
  <c r="AA56" s="1"/>
  <c r="V56"/>
  <c r="X56" s="1"/>
  <c r="U56"/>
  <c r="T56"/>
  <c r="S56"/>
  <c r="Q56"/>
  <c r="L56"/>
  <c r="M56" s="1"/>
  <c r="G56"/>
  <c r="F56"/>
  <c r="Y55"/>
  <c r="AA55" s="1"/>
  <c r="X55"/>
  <c r="V55"/>
  <c r="U55"/>
  <c r="T55"/>
  <c r="S55"/>
  <c r="Q55"/>
  <c r="L55"/>
  <c r="M55" s="1"/>
  <c r="F55"/>
  <c r="G55" s="1"/>
  <c r="Y54"/>
  <c r="AA54" s="1"/>
  <c r="V54"/>
  <c r="X54" s="1"/>
  <c r="U54"/>
  <c r="U53" s="1"/>
  <c r="T54"/>
  <c r="S54"/>
  <c r="Q54"/>
  <c r="L54"/>
  <c r="M54" s="1"/>
  <c r="G54"/>
  <c r="F54"/>
  <c r="AO53"/>
  <c r="AN53"/>
  <c r="AM53"/>
  <c r="AL53"/>
  <c r="AK53"/>
  <c r="AJ53"/>
  <c r="AH53"/>
  <c r="AG53"/>
  <c r="AF53"/>
  <c r="AE53"/>
  <c r="AD53"/>
  <c r="AB53"/>
  <c r="Z53"/>
  <c r="W53"/>
  <c r="V53"/>
  <c r="V52" s="1"/>
  <c r="R53"/>
  <c r="R52" s="1"/>
  <c r="N53"/>
  <c r="L53"/>
  <c r="K53"/>
  <c r="J53"/>
  <c r="I53"/>
  <c r="H53"/>
  <c r="E53"/>
  <c r="F53" s="1"/>
  <c r="D53"/>
  <c r="D52" s="1"/>
  <c r="C53"/>
  <c r="AO52"/>
  <c r="AN52"/>
  <c r="AM52"/>
  <c r="AL52"/>
  <c r="AK52"/>
  <c r="AJ52"/>
  <c r="AH52"/>
  <c r="AG52"/>
  <c r="AF52"/>
  <c r="AE52"/>
  <c r="AD52"/>
  <c r="AB52"/>
  <c r="W52"/>
  <c r="N52"/>
  <c r="L52"/>
  <c r="K52"/>
  <c r="K6" s="1"/>
  <c r="K5" s="1"/>
  <c r="J52"/>
  <c r="I52"/>
  <c r="H52"/>
  <c r="E52"/>
  <c r="C52"/>
  <c r="Y51"/>
  <c r="AA51" s="1"/>
  <c r="W51"/>
  <c r="X51" s="1"/>
  <c r="V51"/>
  <c r="U51"/>
  <c r="T51"/>
  <c r="S51"/>
  <c r="Q51"/>
  <c r="L51"/>
  <c r="M51" s="1"/>
  <c r="AA50"/>
  <c r="Y50"/>
  <c r="V50"/>
  <c r="U50"/>
  <c r="T50"/>
  <c r="X50" s="1"/>
  <c r="S50"/>
  <c r="Q50"/>
  <c r="L50"/>
  <c r="M50" s="1"/>
  <c r="F50"/>
  <c r="G50" s="1"/>
  <c r="AA49"/>
  <c r="Y49"/>
  <c r="V49"/>
  <c r="T49"/>
  <c r="Y48"/>
  <c r="AA48" s="1"/>
  <c r="V48"/>
  <c r="U48"/>
  <c r="T48"/>
  <c r="S48"/>
  <c r="S31" s="1"/>
  <c r="Q48"/>
  <c r="L48"/>
  <c r="M48" s="1"/>
  <c r="G48"/>
  <c r="F48"/>
  <c r="AE47"/>
  <c r="Y47"/>
  <c r="AA47" s="1"/>
  <c r="V47"/>
  <c r="U47"/>
  <c r="T47"/>
  <c r="S47"/>
  <c r="Q47"/>
  <c r="L47"/>
  <c r="M47" s="1"/>
  <c r="G47"/>
  <c r="F47"/>
  <c r="Y46"/>
  <c r="AA46" s="1"/>
  <c r="V46"/>
  <c r="U46"/>
  <c r="T46"/>
  <c r="X46" s="1"/>
  <c r="S46"/>
  <c r="Q46"/>
  <c r="Y45"/>
  <c r="AA45" s="1"/>
  <c r="V45"/>
  <c r="U45"/>
  <c r="U87" s="1"/>
  <c r="T45"/>
  <c r="S45"/>
  <c r="Q45"/>
  <c r="Q87" s="1"/>
  <c r="AI44"/>
  <c r="T44" s="1"/>
  <c r="AA44"/>
  <c r="Y44"/>
  <c r="V44"/>
  <c r="U44"/>
  <c r="S44"/>
  <c r="Q44"/>
  <c r="AA43"/>
  <c r="Y43"/>
  <c r="V43"/>
  <c r="U43"/>
  <c r="T43"/>
  <c r="S43"/>
  <c r="Q43"/>
  <c r="AI42"/>
  <c r="AA42"/>
  <c r="Y42"/>
  <c r="V42"/>
  <c r="U42"/>
  <c r="S42"/>
  <c r="Q42"/>
  <c r="AA40"/>
  <c r="Y40"/>
  <c r="V40"/>
  <c r="U40"/>
  <c r="T40"/>
  <c r="S40"/>
  <c r="Q40"/>
  <c r="M40"/>
  <c r="L40"/>
  <c r="F40"/>
  <c r="G40" s="1"/>
  <c r="AA39"/>
  <c r="Y39"/>
  <c r="V39"/>
  <c r="U39"/>
  <c r="T39"/>
  <c r="S39"/>
  <c r="Q39"/>
  <c r="M39"/>
  <c r="L39"/>
  <c r="F39"/>
  <c r="G39" s="1"/>
  <c r="AA38"/>
  <c r="Y38"/>
  <c r="V38"/>
  <c r="U38"/>
  <c r="T38"/>
  <c r="S38"/>
  <c r="Q38"/>
  <c r="M38"/>
  <c r="L38"/>
  <c r="F38"/>
  <c r="G38" s="1"/>
  <c r="AA37"/>
  <c r="Y37"/>
  <c r="V37"/>
  <c r="U37"/>
  <c r="T37"/>
  <c r="S37"/>
  <c r="Q37"/>
  <c r="M37"/>
  <c r="L37"/>
  <c r="Y36"/>
  <c r="AA36" s="1"/>
  <c r="V36"/>
  <c r="U36"/>
  <c r="T36"/>
  <c r="S36"/>
  <c r="Q36"/>
  <c r="Y35"/>
  <c r="V35"/>
  <c r="T35"/>
  <c r="X35" s="1"/>
  <c r="AA34"/>
  <c r="Y34"/>
  <c r="V34"/>
  <c r="U34"/>
  <c r="T34"/>
  <c r="S34"/>
  <c r="Q34"/>
  <c r="M34"/>
  <c r="L34"/>
  <c r="F34"/>
  <c r="G34" s="1"/>
  <c r="AI33"/>
  <c r="T33" s="1"/>
  <c r="AA33"/>
  <c r="Y33"/>
  <c r="V33"/>
  <c r="U33"/>
  <c r="S33"/>
  <c r="Q33"/>
  <c r="M33"/>
  <c r="L33"/>
  <c r="F33"/>
  <c r="G33" s="1"/>
  <c r="AL32"/>
  <c r="AH32"/>
  <c r="AE32"/>
  <c r="AE88" s="1"/>
  <c r="AA32"/>
  <c r="Y32"/>
  <c r="V32"/>
  <c r="U32"/>
  <c r="T32"/>
  <c r="S32"/>
  <c r="Q32"/>
  <c r="Q31" s="1"/>
  <c r="E32"/>
  <c r="C32"/>
  <c r="AO31"/>
  <c r="AN31"/>
  <c r="AM31"/>
  <c r="AL31"/>
  <c r="AK31"/>
  <c r="AJ31"/>
  <c r="AI31"/>
  <c r="AH31"/>
  <c r="AG31"/>
  <c r="AF31"/>
  <c r="AE31"/>
  <c r="AE13" s="1"/>
  <c r="AE6" s="1"/>
  <c r="AE5" s="1"/>
  <c r="AD31"/>
  <c r="AB31"/>
  <c r="Z31"/>
  <c r="W31"/>
  <c r="R31"/>
  <c r="R13" s="1"/>
  <c r="R6" s="1"/>
  <c r="R5" s="1"/>
  <c r="N31"/>
  <c r="K31"/>
  <c r="J31"/>
  <c r="I31"/>
  <c r="I13" s="1"/>
  <c r="H31"/>
  <c r="H13" s="1"/>
  <c r="H6" s="1"/>
  <c r="H5" s="1"/>
  <c r="D31"/>
  <c r="C31"/>
  <c r="Y30"/>
  <c r="AA30" s="1"/>
  <c r="V30"/>
  <c r="U30"/>
  <c r="T30"/>
  <c r="X30" s="1"/>
  <c r="S30"/>
  <c r="Q30"/>
  <c r="L30"/>
  <c r="M30" s="1"/>
  <c r="F30"/>
  <c r="G30" s="1"/>
  <c r="AI29"/>
  <c r="Y29"/>
  <c r="AA29" s="1"/>
  <c r="V29"/>
  <c r="U29"/>
  <c r="T29"/>
  <c r="S29"/>
  <c r="Q29"/>
  <c r="L29"/>
  <c r="M29" s="1"/>
  <c r="G29"/>
  <c r="F29"/>
  <c r="Y28"/>
  <c r="AA28" s="1"/>
  <c r="V28"/>
  <c r="U28"/>
  <c r="T28"/>
  <c r="S28"/>
  <c r="Q28"/>
  <c r="L28"/>
  <c r="L86" s="1"/>
  <c r="G28"/>
  <c r="F28"/>
  <c r="AL27"/>
  <c r="AH27"/>
  <c r="AE27"/>
  <c r="AE89" s="1"/>
  <c r="AD27"/>
  <c r="Z27"/>
  <c r="AA27" s="1"/>
  <c r="Y27"/>
  <c r="V27"/>
  <c r="U27"/>
  <c r="T27"/>
  <c r="Q27"/>
  <c r="M27"/>
  <c r="L27"/>
  <c r="F27"/>
  <c r="AA26"/>
  <c r="Y26"/>
  <c r="V26"/>
  <c r="U26"/>
  <c r="U86" s="1"/>
  <c r="T26"/>
  <c r="S26"/>
  <c r="Q26"/>
  <c r="Q86" s="1"/>
  <c r="M26"/>
  <c r="L26"/>
  <c r="Y25"/>
  <c r="AA25" s="1"/>
  <c r="V25"/>
  <c r="U25"/>
  <c r="T25"/>
  <c r="X25" s="1"/>
  <c r="S25"/>
  <c r="Q25"/>
  <c r="Y24"/>
  <c r="AA24" s="1"/>
  <c r="V24"/>
  <c r="U24"/>
  <c r="T24"/>
  <c r="S24"/>
  <c r="Q24"/>
  <c r="L24"/>
  <c r="M24" s="1"/>
  <c r="AA23"/>
  <c r="Y23"/>
  <c r="W23"/>
  <c r="V23"/>
  <c r="T23"/>
  <c r="AI22"/>
  <c r="AI88" s="1"/>
  <c r="AG22"/>
  <c r="AA22"/>
  <c r="Y22"/>
  <c r="W22"/>
  <c r="V22"/>
  <c r="U22"/>
  <c r="S22"/>
  <c r="Q22"/>
  <c r="AA21"/>
  <c r="Y21"/>
  <c r="V21"/>
  <c r="U21"/>
  <c r="T21"/>
  <c r="S21"/>
  <c r="Q21"/>
  <c r="M21"/>
  <c r="L21"/>
  <c r="Y20"/>
  <c r="AA20" s="1"/>
  <c r="V20"/>
  <c r="T20"/>
  <c r="X20" s="1"/>
  <c r="Y19"/>
  <c r="AA19" s="1"/>
  <c r="V19"/>
  <c r="U19"/>
  <c r="T19"/>
  <c r="X19" s="1"/>
  <c r="S19"/>
  <c r="Q19"/>
  <c r="L19"/>
  <c r="M19" s="1"/>
  <c r="Y18"/>
  <c r="AA18" s="1"/>
  <c r="U18"/>
  <c r="T18"/>
  <c r="S18"/>
  <c r="Q18"/>
  <c r="M18"/>
  <c r="L18"/>
  <c r="Y17"/>
  <c r="V17"/>
  <c r="U17"/>
  <c r="T17"/>
  <c r="S17"/>
  <c r="S88" s="1"/>
  <c r="Q17"/>
  <c r="L17"/>
  <c r="M17" s="1"/>
  <c r="AA16"/>
  <c r="Y16"/>
  <c r="V16"/>
  <c r="U16"/>
  <c r="T16"/>
  <c r="S16"/>
  <c r="Q16"/>
  <c r="M16"/>
  <c r="L16"/>
  <c r="Y15"/>
  <c r="AA15" s="1"/>
  <c r="V15"/>
  <c r="U15"/>
  <c r="T15"/>
  <c r="X15" s="1"/>
  <c r="S15"/>
  <c r="Q15"/>
  <c r="L15"/>
  <c r="M15" s="1"/>
  <c r="AI14"/>
  <c r="AI90" s="1"/>
  <c r="AE14"/>
  <c r="AE90" s="1"/>
  <c r="Y14"/>
  <c r="V14"/>
  <c r="U14"/>
  <c r="T14"/>
  <c r="S14"/>
  <c r="S90" s="1"/>
  <c r="Q14"/>
  <c r="L14"/>
  <c r="G14"/>
  <c r="F14"/>
  <c r="AO13"/>
  <c r="AN13"/>
  <c r="AM13"/>
  <c r="AM6" s="1"/>
  <c r="AM5" s="1"/>
  <c r="AK13"/>
  <c r="AJ13"/>
  <c r="AJ6" s="1"/>
  <c r="AJ5" s="1"/>
  <c r="AF13"/>
  <c r="AF6" s="1"/>
  <c r="AF5" s="1"/>
  <c r="AD13"/>
  <c r="AD6" s="1"/>
  <c r="AD5" s="1"/>
  <c r="AB13"/>
  <c r="N13"/>
  <c r="J13"/>
  <c r="D13"/>
  <c r="C13"/>
  <c r="C6" s="1"/>
  <c r="AA12"/>
  <c r="Y12"/>
  <c r="V12"/>
  <c r="T12"/>
  <c r="Q12"/>
  <c r="AA11"/>
  <c r="Y11"/>
  <c r="V11"/>
  <c r="U11"/>
  <c r="U7" s="1"/>
  <c r="T11"/>
  <c r="S11"/>
  <c r="Q11"/>
  <c r="M11"/>
  <c r="L11"/>
  <c r="E11"/>
  <c r="F11" s="1"/>
  <c r="G11" s="1"/>
  <c r="G7" s="1"/>
  <c r="C11"/>
  <c r="C7" s="1"/>
  <c r="AE10"/>
  <c r="AE85" s="1"/>
  <c r="AE97" s="1"/>
  <c r="AE98" s="1"/>
  <c r="Y10"/>
  <c r="AA10" s="1"/>
  <c r="V10"/>
  <c r="V85" s="1"/>
  <c r="U10"/>
  <c r="U85" s="1"/>
  <c r="T10"/>
  <c r="T85" s="1"/>
  <c r="S10"/>
  <c r="S85" s="1"/>
  <c r="Q10"/>
  <c r="Q85" s="1"/>
  <c r="L10"/>
  <c r="M10" s="1"/>
  <c r="M7" s="1"/>
  <c r="M85" s="1"/>
  <c r="AA9"/>
  <c r="Y9"/>
  <c r="V9"/>
  <c r="T9"/>
  <c r="T90" s="1"/>
  <c r="Q9"/>
  <c r="Y8"/>
  <c r="V8"/>
  <c r="T8"/>
  <c r="AO7"/>
  <c r="AN7"/>
  <c r="AM7"/>
  <c r="AL7"/>
  <c r="AK7"/>
  <c r="AJ7"/>
  <c r="AI7"/>
  <c r="AH7"/>
  <c r="AG7"/>
  <c r="AF7"/>
  <c r="AE7"/>
  <c r="AD7"/>
  <c r="AB7"/>
  <c r="Z7"/>
  <c r="W7"/>
  <c r="S7"/>
  <c r="R7"/>
  <c r="N7"/>
  <c r="N85" s="1"/>
  <c r="N92" s="1"/>
  <c r="L7"/>
  <c r="K7"/>
  <c r="J7"/>
  <c r="J86" s="1"/>
  <c r="J92" s="1"/>
  <c r="I7"/>
  <c r="I86" s="1"/>
  <c r="I92" s="1"/>
  <c r="H7"/>
  <c r="E7"/>
  <c r="D7"/>
  <c r="AO6"/>
  <c r="AO5" s="1"/>
  <c r="AN6"/>
  <c r="AK6"/>
  <c r="N6"/>
  <c r="N5" s="1"/>
  <c r="J6"/>
  <c r="I6"/>
  <c r="I5" s="1"/>
  <c r="AN5"/>
  <c r="AK5"/>
  <c r="J5"/>
  <c r="W88" i="13"/>
  <c r="X88"/>
  <c r="Y88"/>
  <c r="Z88"/>
  <c r="AA88"/>
  <c r="AB88"/>
  <c r="AC88"/>
  <c r="AD88"/>
  <c r="AE88"/>
  <c r="AF88"/>
  <c r="AG88"/>
  <c r="AH88"/>
  <c r="V88"/>
  <c r="AH20"/>
  <c r="AG20"/>
  <c r="U88"/>
  <c r="AC7"/>
  <c r="X89"/>
  <c r="Y89"/>
  <c r="Z89"/>
  <c r="AA89"/>
  <c r="AB89"/>
  <c r="AC89"/>
  <c r="T88"/>
  <c r="X31" i="15" l="1"/>
  <c r="Z78"/>
  <c r="AA78" s="1"/>
  <c r="AB78" s="1"/>
  <c r="Z80"/>
  <c r="AA80" s="1"/>
  <c r="AB80" s="1"/>
  <c r="W78"/>
  <c r="I95"/>
  <c r="K95"/>
  <c r="M53"/>
  <c r="Q53"/>
  <c r="Q52" s="1"/>
  <c r="U52"/>
  <c r="Y86"/>
  <c r="Y88"/>
  <c r="AA14"/>
  <c r="U88"/>
  <c r="V89"/>
  <c r="C83"/>
  <c r="C84" s="1"/>
  <c r="C5"/>
  <c r="T22"/>
  <c r="AG13"/>
  <c r="AG6" s="1"/>
  <c r="AG5" s="1"/>
  <c r="V86"/>
  <c r="AL89"/>
  <c r="AL97" s="1"/>
  <c r="AL13"/>
  <c r="AL6" s="1"/>
  <c r="AL5" s="1"/>
  <c r="AA35"/>
  <c r="Y31"/>
  <c r="Y13" s="1"/>
  <c r="AI87"/>
  <c r="T67"/>
  <c r="T87" s="1"/>
  <c r="AG71"/>
  <c r="T73"/>
  <c r="T71" s="1"/>
  <c r="AK92"/>
  <c r="AK95" s="1"/>
  <c r="AK97"/>
  <c r="AK98" s="1"/>
  <c r="AO92"/>
  <c r="AO95" s="1"/>
  <c r="AO97"/>
  <c r="AO98" s="1"/>
  <c r="AL92"/>
  <c r="H95"/>
  <c r="Y89"/>
  <c r="AJ95"/>
  <c r="F7"/>
  <c r="Q90"/>
  <c r="Z13"/>
  <c r="T88"/>
  <c r="U89"/>
  <c r="M28"/>
  <c r="M86" s="1"/>
  <c r="V31"/>
  <c r="X53"/>
  <c r="AI53"/>
  <c r="AI52" s="1"/>
  <c r="T53"/>
  <c r="L89"/>
  <c r="Z82"/>
  <c r="AA82" s="1"/>
  <c r="AB82" s="1"/>
  <c r="AG88"/>
  <c r="AG92" s="1"/>
  <c r="R95"/>
  <c r="AD98"/>
  <c r="AI89"/>
  <c r="AI92" s="1"/>
  <c r="T42"/>
  <c r="T31" s="1"/>
  <c r="T13" s="1"/>
  <c r="G27"/>
  <c r="AA31"/>
  <c r="T89"/>
  <c r="X52"/>
  <c r="AM98"/>
  <c r="J95"/>
  <c r="W13"/>
  <c r="S53"/>
  <c r="S52" s="1"/>
  <c r="R98"/>
  <c r="AF98"/>
  <c r="AJ98"/>
  <c r="AN98"/>
  <c r="Y90"/>
  <c r="AF95"/>
  <c r="AN95"/>
  <c r="F32"/>
  <c r="E31"/>
  <c r="E13" s="1"/>
  <c r="E6" s="1"/>
  <c r="X67"/>
  <c r="V87"/>
  <c r="AA8"/>
  <c r="Y7"/>
  <c r="AH89"/>
  <c r="AH97" s="1"/>
  <c r="S27"/>
  <c r="AH13"/>
  <c r="AH6" s="1"/>
  <c r="AH5" s="1"/>
  <c r="V90"/>
  <c r="V7"/>
  <c r="L90"/>
  <c r="M14"/>
  <c r="Q88"/>
  <c r="Q13"/>
  <c r="V88"/>
  <c r="F52"/>
  <c r="G53"/>
  <c r="G52" s="1"/>
  <c r="Z74"/>
  <c r="Y71"/>
  <c r="D6"/>
  <c r="N95"/>
  <c r="T7"/>
  <c r="AI13"/>
  <c r="AI6" s="1"/>
  <c r="AI5" s="1"/>
  <c r="U90"/>
  <c r="Q89"/>
  <c r="U31"/>
  <c r="U13" s="1"/>
  <c r="U6" s="1"/>
  <c r="U5" s="1"/>
  <c r="Z52"/>
  <c r="AA52" s="1"/>
  <c r="AD95"/>
  <c r="AE92"/>
  <c r="AE95" s="1"/>
  <c r="AM92"/>
  <c r="AM95" s="1"/>
  <c r="L32"/>
  <c r="Y53"/>
  <c r="Y52" s="1"/>
  <c r="Q7"/>
  <c r="M69"/>
  <c r="M52" s="1"/>
  <c r="AD7" i="13"/>
  <c r="AE7"/>
  <c r="AF7"/>
  <c r="AG7"/>
  <c r="AH7"/>
  <c r="U7"/>
  <c r="V7"/>
  <c r="T7"/>
  <c r="AA13" i="15" l="1"/>
  <c r="W6"/>
  <c r="W5" s="1"/>
  <c r="X13"/>
  <c r="Q6"/>
  <c r="Q5" s="1"/>
  <c r="V97"/>
  <c r="AG95"/>
  <c r="U97"/>
  <c r="U98" s="1"/>
  <c r="Q97"/>
  <c r="Q98" s="1"/>
  <c r="Q92"/>
  <c r="Y97"/>
  <c r="AG97"/>
  <c r="AG98" s="1"/>
  <c r="V92"/>
  <c r="AI95"/>
  <c r="AI97"/>
  <c r="AI98" s="1"/>
  <c r="U92"/>
  <c r="U95" s="1"/>
  <c r="T97"/>
  <c r="T92"/>
  <c r="E83"/>
  <c r="E84" s="1"/>
  <c r="E5"/>
  <c r="AA74"/>
  <c r="AB74" s="1"/>
  <c r="AB71" s="1"/>
  <c r="AB6" s="1"/>
  <c r="AB5" s="1"/>
  <c r="Z71"/>
  <c r="AA71" s="1"/>
  <c r="AH98"/>
  <c r="AH92"/>
  <c r="AH95" s="1"/>
  <c r="D83"/>
  <c r="D84" s="1"/>
  <c r="D5"/>
  <c r="M90"/>
  <c r="S89"/>
  <c r="S13"/>
  <c r="S6" s="1"/>
  <c r="S5" s="1"/>
  <c r="M89"/>
  <c r="AA53"/>
  <c r="Z6"/>
  <c r="AL95"/>
  <c r="Y92"/>
  <c r="Y6"/>
  <c r="Y5" s="1"/>
  <c r="AA7"/>
  <c r="L88"/>
  <c r="L92" s="1"/>
  <c r="M32"/>
  <c r="M88" s="1"/>
  <c r="L31"/>
  <c r="G32"/>
  <c r="G31" s="1"/>
  <c r="G13" s="1"/>
  <c r="G6" s="1"/>
  <c r="F31"/>
  <c r="F13" s="1"/>
  <c r="F6" s="1"/>
  <c r="V13"/>
  <c r="V6" s="1"/>
  <c r="T52"/>
  <c r="T6" s="1"/>
  <c r="T5" s="1"/>
  <c r="AL98"/>
  <c r="T12" i="13"/>
  <c r="T9"/>
  <c r="T10"/>
  <c r="T11"/>
  <c r="AC11"/>
  <c r="Q95" i="15" l="1"/>
  <c r="M92"/>
  <c r="X5"/>
  <c r="X6"/>
  <c r="G83"/>
  <c r="G5"/>
  <c r="V5"/>
  <c r="V95" s="1"/>
  <c r="V98"/>
  <c r="M31"/>
  <c r="M13" s="1"/>
  <c r="M6" s="1"/>
  <c r="M5" s="1"/>
  <c r="L13"/>
  <c r="L6" s="1"/>
  <c r="L5" s="1"/>
  <c r="L95" s="1"/>
  <c r="Z5"/>
  <c r="AA5" s="1"/>
  <c r="AA6"/>
  <c r="T98"/>
  <c r="Y95"/>
  <c r="T95"/>
  <c r="F83"/>
  <c r="F5"/>
  <c r="S97"/>
  <c r="S98" s="1"/>
  <c r="S92"/>
  <c r="S95" s="1"/>
  <c r="Y98"/>
  <c r="X84" i="13"/>
  <c r="Y84"/>
  <c r="Y91" s="1"/>
  <c r="Z84"/>
  <c r="Z91" s="1"/>
  <c r="AA84"/>
  <c r="AB84"/>
  <c r="AC84"/>
  <c r="AC91" s="1"/>
  <c r="AD84"/>
  <c r="AE84"/>
  <c r="AF84"/>
  <c r="AG84"/>
  <c r="AH84"/>
  <c r="U85"/>
  <c r="V85"/>
  <c r="X85"/>
  <c r="Y85"/>
  <c r="Z85"/>
  <c r="AA85"/>
  <c r="AB85"/>
  <c r="AC85"/>
  <c r="AD85"/>
  <c r="AE85"/>
  <c r="AF85"/>
  <c r="AG85"/>
  <c r="AH85"/>
  <c r="U86"/>
  <c r="V86"/>
  <c r="X86"/>
  <c r="Y86"/>
  <c r="Z86"/>
  <c r="AA86"/>
  <c r="AB86"/>
  <c r="AC86"/>
  <c r="AD86"/>
  <c r="AE86"/>
  <c r="AF86"/>
  <c r="AG86"/>
  <c r="AH86"/>
  <c r="U87"/>
  <c r="V87"/>
  <c r="X87"/>
  <c r="Y87"/>
  <c r="Z87"/>
  <c r="AA87"/>
  <c r="AB87"/>
  <c r="AC87"/>
  <c r="AD87"/>
  <c r="AE87"/>
  <c r="AF87"/>
  <c r="AG87"/>
  <c r="AH87"/>
  <c r="AD89"/>
  <c r="AE89"/>
  <c r="AF89"/>
  <c r="AG89"/>
  <c r="AH89"/>
  <c r="X91"/>
  <c r="AA91"/>
  <c r="AB91"/>
  <c r="AE91"/>
  <c r="AF91"/>
  <c r="T87"/>
  <c r="T85"/>
  <c r="T72"/>
  <c r="U72"/>
  <c r="V72"/>
  <c r="T76"/>
  <c r="T75"/>
  <c r="T71" i="14"/>
  <c r="Y77"/>
  <c r="Z77" s="1"/>
  <c r="AA77" s="1"/>
  <c r="AB77" s="1"/>
  <c r="X77"/>
  <c r="W77"/>
  <c r="V77"/>
  <c r="R78"/>
  <c r="AD78"/>
  <c r="AE78"/>
  <c r="AF78"/>
  <c r="AG78"/>
  <c r="AH78"/>
  <c r="AI78"/>
  <c r="AJ78"/>
  <c r="AK78"/>
  <c r="V78" s="1"/>
  <c r="AL78"/>
  <c r="W78" s="1"/>
  <c r="AM78"/>
  <c r="X78" s="1"/>
  <c r="AN78"/>
  <c r="Y78" s="1"/>
  <c r="Z78" s="1"/>
  <c r="AA78" s="1"/>
  <c r="AB78" s="1"/>
  <c r="AO78"/>
  <c r="Y72"/>
  <c r="W23"/>
  <c r="W22"/>
  <c r="X73"/>
  <c r="X72"/>
  <c r="V72"/>
  <c r="Y82"/>
  <c r="X82"/>
  <c r="W82"/>
  <c r="V82"/>
  <c r="Y81"/>
  <c r="X81"/>
  <c r="W81"/>
  <c r="V81"/>
  <c r="Y80"/>
  <c r="X80"/>
  <c r="W80"/>
  <c r="V80"/>
  <c r="Y79"/>
  <c r="X79"/>
  <c r="W79"/>
  <c r="V79"/>
  <c r="X76"/>
  <c r="X75"/>
  <c r="X74"/>
  <c r="W76"/>
  <c r="W75"/>
  <c r="W74"/>
  <c r="AF27" i="13"/>
  <c r="AE27"/>
  <c r="Z27" i="14"/>
  <c r="T41" i="13"/>
  <c r="U41"/>
  <c r="V41"/>
  <c r="V55"/>
  <c r="U10"/>
  <c r="AC71" i="14"/>
  <c r="AO90"/>
  <c r="AN90"/>
  <c r="AM90"/>
  <c r="AL90"/>
  <c r="AK90"/>
  <c r="AJ90"/>
  <c r="AH90"/>
  <c r="AG90"/>
  <c r="AF90"/>
  <c r="AD90"/>
  <c r="R90"/>
  <c r="P90"/>
  <c r="O90"/>
  <c r="N90"/>
  <c r="K90"/>
  <c r="J90"/>
  <c r="I90"/>
  <c r="H90"/>
  <c r="AO89"/>
  <c r="AN89"/>
  <c r="AM89"/>
  <c r="AK89"/>
  <c r="AJ89"/>
  <c r="AG89"/>
  <c r="AF89"/>
  <c r="R89"/>
  <c r="P89"/>
  <c r="O89"/>
  <c r="N89"/>
  <c r="K89"/>
  <c r="J89"/>
  <c r="I89"/>
  <c r="H89"/>
  <c r="AO88"/>
  <c r="AN88"/>
  <c r="AM88"/>
  <c r="AK88"/>
  <c r="AJ88"/>
  <c r="AF88"/>
  <c r="AD88"/>
  <c r="R88"/>
  <c r="P88"/>
  <c r="O88"/>
  <c r="N88"/>
  <c r="K88"/>
  <c r="J88"/>
  <c r="I88"/>
  <c r="H88"/>
  <c r="AN87"/>
  <c r="AL87"/>
  <c r="AK87"/>
  <c r="AJ87"/>
  <c r="AH87"/>
  <c r="AG87"/>
  <c r="AF87"/>
  <c r="AE87"/>
  <c r="AD87"/>
  <c r="R87"/>
  <c r="P87"/>
  <c r="O87"/>
  <c r="N87"/>
  <c r="K87"/>
  <c r="J87"/>
  <c r="H87"/>
  <c r="AO86"/>
  <c r="AN86"/>
  <c r="AM86"/>
  <c r="AL86"/>
  <c r="AK86"/>
  <c r="AJ86"/>
  <c r="AH86"/>
  <c r="AG86"/>
  <c r="AF86"/>
  <c r="AE86"/>
  <c r="AD86"/>
  <c r="R86"/>
  <c r="P86"/>
  <c r="O86"/>
  <c r="N86"/>
  <c r="AO85"/>
  <c r="AN85"/>
  <c r="AM85"/>
  <c r="AL85"/>
  <c r="AK85"/>
  <c r="AJ85"/>
  <c r="AI85"/>
  <c r="AH85"/>
  <c r="AG85"/>
  <c r="AF85"/>
  <c r="AD85"/>
  <c r="R85"/>
  <c r="P85"/>
  <c r="O85"/>
  <c r="U82"/>
  <c r="T82"/>
  <c r="S82"/>
  <c r="E82"/>
  <c r="F82" s="1"/>
  <c r="G82" s="1"/>
  <c r="C82"/>
  <c r="U80"/>
  <c r="U78" s="1"/>
  <c r="S80"/>
  <c r="S78" s="1"/>
  <c r="E80"/>
  <c r="F80" s="1"/>
  <c r="G80" s="1"/>
  <c r="C80"/>
  <c r="T79"/>
  <c r="T78" s="1"/>
  <c r="Q79"/>
  <c r="Q78" s="1"/>
  <c r="Y76"/>
  <c r="Z76" s="1"/>
  <c r="V76"/>
  <c r="U76"/>
  <c r="T76"/>
  <c r="AI75"/>
  <c r="AI86" s="1"/>
  <c r="Y75"/>
  <c r="Z75" s="1"/>
  <c r="V75"/>
  <c r="U75"/>
  <c r="T75"/>
  <c r="S75"/>
  <c r="Q75"/>
  <c r="E75"/>
  <c r="F75" s="1"/>
  <c r="C75"/>
  <c r="AI74"/>
  <c r="AG74"/>
  <c r="Y74"/>
  <c r="Z74" s="1"/>
  <c r="AA74" s="1"/>
  <c r="AB74" s="1"/>
  <c r="V74"/>
  <c r="U74"/>
  <c r="S74"/>
  <c r="Q74"/>
  <c r="L74"/>
  <c r="M74" s="1"/>
  <c r="F74"/>
  <c r="G74" s="1"/>
  <c r="AG73"/>
  <c r="AG71" s="1"/>
  <c r="Y73"/>
  <c r="AA73" s="1"/>
  <c r="V73"/>
  <c r="U73"/>
  <c r="S73"/>
  <c r="Q73"/>
  <c r="L73"/>
  <c r="T72"/>
  <c r="AO71"/>
  <c r="AN71"/>
  <c r="AM71"/>
  <c r="AL71"/>
  <c r="AK71"/>
  <c r="AJ71"/>
  <c r="AI71"/>
  <c r="AH71"/>
  <c r="AF71"/>
  <c r="AE71"/>
  <c r="AD71"/>
  <c r="V71"/>
  <c r="R71"/>
  <c r="Q71"/>
  <c r="AA70"/>
  <c r="X70"/>
  <c r="U70"/>
  <c r="S70"/>
  <c r="Q70"/>
  <c r="L70"/>
  <c r="M70" s="1"/>
  <c r="F70"/>
  <c r="G70" s="1"/>
  <c r="Y69"/>
  <c r="AA69" s="1"/>
  <c r="V69"/>
  <c r="X69" s="1"/>
  <c r="U69"/>
  <c r="T69"/>
  <c r="S69"/>
  <c r="Q69"/>
  <c r="L69"/>
  <c r="M69" s="1"/>
  <c r="F69"/>
  <c r="G69" s="1"/>
  <c r="Y68"/>
  <c r="AA68" s="1"/>
  <c r="V68"/>
  <c r="X68" s="1"/>
  <c r="U68"/>
  <c r="T68"/>
  <c r="S68"/>
  <c r="Q68"/>
  <c r="AO67"/>
  <c r="AO87" s="1"/>
  <c r="AM67"/>
  <c r="AM87" s="1"/>
  <c r="AI67"/>
  <c r="AI87" s="1"/>
  <c r="U67"/>
  <c r="S67"/>
  <c r="Q67"/>
  <c r="L67"/>
  <c r="M67" s="1"/>
  <c r="M87" s="1"/>
  <c r="I67"/>
  <c r="I87" s="1"/>
  <c r="F67"/>
  <c r="G67" s="1"/>
  <c r="AI66"/>
  <c r="T66" s="1"/>
  <c r="AA66"/>
  <c r="Y66"/>
  <c r="V66"/>
  <c r="X66" s="1"/>
  <c r="U66"/>
  <c r="S66"/>
  <c r="Q66"/>
  <c r="L66"/>
  <c r="M66" s="1"/>
  <c r="F66"/>
  <c r="G66" s="1"/>
  <c r="AI65"/>
  <c r="Y65"/>
  <c r="AA65" s="1"/>
  <c r="V65"/>
  <c r="X65" s="1"/>
  <c r="U65"/>
  <c r="T65"/>
  <c r="S65"/>
  <c r="Q65"/>
  <c r="L65"/>
  <c r="M65" s="1"/>
  <c r="F65"/>
  <c r="G65" s="1"/>
  <c r="AI64"/>
  <c r="Y64"/>
  <c r="AA64" s="1"/>
  <c r="V64"/>
  <c r="X64" s="1"/>
  <c r="U64"/>
  <c r="T64"/>
  <c r="S64"/>
  <c r="Q64"/>
  <c r="L64"/>
  <c r="M64" s="1"/>
  <c r="F64"/>
  <c r="G64" s="1"/>
  <c r="AE63"/>
  <c r="Q63" s="1"/>
  <c r="Y63"/>
  <c r="AA63" s="1"/>
  <c r="V63"/>
  <c r="X63" s="1"/>
  <c r="U63"/>
  <c r="T63"/>
  <c r="S63"/>
  <c r="F63"/>
  <c r="G63" s="1"/>
  <c r="Y62"/>
  <c r="AA62" s="1"/>
  <c r="V62"/>
  <c r="X62" s="1"/>
  <c r="U62"/>
  <c r="T62"/>
  <c r="S62"/>
  <c r="Q62"/>
  <c r="L62"/>
  <c r="M62" s="1"/>
  <c r="F62"/>
  <c r="G62" s="1"/>
  <c r="Y61"/>
  <c r="AA61" s="1"/>
  <c r="V61"/>
  <c r="X61" s="1"/>
  <c r="U61"/>
  <c r="T61"/>
  <c r="S61"/>
  <c r="Q61"/>
  <c r="L61"/>
  <c r="M61" s="1"/>
  <c r="F61"/>
  <c r="G61" s="1"/>
  <c r="Y60"/>
  <c r="AA60" s="1"/>
  <c r="V60"/>
  <c r="X60" s="1"/>
  <c r="U60"/>
  <c r="T60"/>
  <c r="S60"/>
  <c r="Q60"/>
  <c r="Y59"/>
  <c r="AA59" s="1"/>
  <c r="V59"/>
  <c r="X59" s="1"/>
  <c r="U59"/>
  <c r="T59"/>
  <c r="S59"/>
  <c r="Q59"/>
  <c r="Y58"/>
  <c r="AA58" s="1"/>
  <c r="V58"/>
  <c r="X58" s="1"/>
  <c r="U58"/>
  <c r="T58"/>
  <c r="S58"/>
  <c r="Q58"/>
  <c r="L58"/>
  <c r="M58" s="1"/>
  <c r="F58"/>
  <c r="G58" s="1"/>
  <c r="Y57"/>
  <c r="AA57" s="1"/>
  <c r="V57"/>
  <c r="X57" s="1"/>
  <c r="U57"/>
  <c r="T57"/>
  <c r="S57"/>
  <c r="Q57"/>
  <c r="L57"/>
  <c r="M57" s="1"/>
  <c r="F57"/>
  <c r="G57" s="1"/>
  <c r="Y56"/>
  <c r="AA56" s="1"/>
  <c r="V56"/>
  <c r="X56" s="1"/>
  <c r="U56"/>
  <c r="T56"/>
  <c r="S56"/>
  <c r="Q56"/>
  <c r="L56"/>
  <c r="M56" s="1"/>
  <c r="F56"/>
  <c r="G56" s="1"/>
  <c r="Y55"/>
  <c r="AA55" s="1"/>
  <c r="V55"/>
  <c r="X55" s="1"/>
  <c r="U55"/>
  <c r="T55"/>
  <c r="S55"/>
  <c r="Q55"/>
  <c r="L55"/>
  <c r="M55" s="1"/>
  <c r="F55"/>
  <c r="G55" s="1"/>
  <c r="Y54"/>
  <c r="AA54" s="1"/>
  <c r="V54"/>
  <c r="U54"/>
  <c r="U53" s="1"/>
  <c r="U52" s="1"/>
  <c r="T54"/>
  <c r="S54"/>
  <c r="S53" s="1"/>
  <c r="Q54"/>
  <c r="M54"/>
  <c r="L54"/>
  <c r="F54"/>
  <c r="G54" s="1"/>
  <c r="AO53"/>
  <c r="AN53"/>
  <c r="AM53"/>
  <c r="AL53"/>
  <c r="AL52" s="1"/>
  <c r="AK53"/>
  <c r="AK52" s="1"/>
  <c r="AJ53"/>
  <c r="AJ52" s="1"/>
  <c r="AI53"/>
  <c r="AH53"/>
  <c r="AH52" s="1"/>
  <c r="AG53"/>
  <c r="AG52" s="1"/>
  <c r="AF53"/>
  <c r="AF52" s="1"/>
  <c r="AD53"/>
  <c r="AB53"/>
  <c r="AB52" s="1"/>
  <c r="Z53"/>
  <c r="W53"/>
  <c r="W52" s="1"/>
  <c r="R53"/>
  <c r="R52" s="1"/>
  <c r="N53"/>
  <c r="K53"/>
  <c r="K52" s="1"/>
  <c r="K6" s="1"/>
  <c r="K5" s="1"/>
  <c r="J53"/>
  <c r="I53"/>
  <c r="I52" s="1"/>
  <c r="H53"/>
  <c r="E53"/>
  <c r="F53" s="1"/>
  <c r="D53"/>
  <c r="C53"/>
  <c r="C52" s="1"/>
  <c r="AO52"/>
  <c r="AN52"/>
  <c r="AD52"/>
  <c r="Z52"/>
  <c r="N52"/>
  <c r="J52"/>
  <c r="H52"/>
  <c r="D52"/>
  <c r="AB31"/>
  <c r="AB13" s="1"/>
  <c r="Z31"/>
  <c r="Z13" s="1"/>
  <c r="Y51"/>
  <c r="AA51" s="1"/>
  <c r="W51"/>
  <c r="W31" s="1"/>
  <c r="W13" s="1"/>
  <c r="V51"/>
  <c r="U51"/>
  <c r="T51"/>
  <c r="S51"/>
  <c r="Q51"/>
  <c r="L51"/>
  <c r="M51" s="1"/>
  <c r="Y50"/>
  <c r="AA50" s="1"/>
  <c r="V50"/>
  <c r="X50" s="1"/>
  <c r="U50"/>
  <c r="T50"/>
  <c r="S50"/>
  <c r="Q50"/>
  <c r="L50"/>
  <c r="M50" s="1"/>
  <c r="F50"/>
  <c r="G50" s="1"/>
  <c r="Y49"/>
  <c r="AA49" s="1"/>
  <c r="V49"/>
  <c r="X49" s="1"/>
  <c r="T49"/>
  <c r="Y48"/>
  <c r="AA48" s="1"/>
  <c r="V48"/>
  <c r="X48" s="1"/>
  <c r="U48"/>
  <c r="T48"/>
  <c r="S48"/>
  <c r="Q48"/>
  <c r="L48"/>
  <c r="M48" s="1"/>
  <c r="F48"/>
  <c r="G48" s="1"/>
  <c r="AE47"/>
  <c r="Q47" s="1"/>
  <c r="Y47"/>
  <c r="AA47" s="1"/>
  <c r="V47"/>
  <c r="X47" s="1"/>
  <c r="U47"/>
  <c r="T47"/>
  <c r="S47"/>
  <c r="L47"/>
  <c r="M47" s="1"/>
  <c r="F47"/>
  <c r="G47" s="1"/>
  <c r="Y46"/>
  <c r="V46"/>
  <c r="X46" s="1"/>
  <c r="U46"/>
  <c r="T46"/>
  <c r="S46"/>
  <c r="Q46"/>
  <c r="Y45"/>
  <c r="V45"/>
  <c r="X45" s="1"/>
  <c r="U45"/>
  <c r="U87" s="1"/>
  <c r="T45"/>
  <c r="S45"/>
  <c r="S87" s="1"/>
  <c r="Q45"/>
  <c r="Q87" s="1"/>
  <c r="AI44"/>
  <c r="T44" s="1"/>
  <c r="Y44"/>
  <c r="AA44" s="1"/>
  <c r="V44"/>
  <c r="X44" s="1"/>
  <c r="U44"/>
  <c r="S44"/>
  <c r="Q44"/>
  <c r="Y43"/>
  <c r="AA43" s="1"/>
  <c r="V43"/>
  <c r="X43" s="1"/>
  <c r="U43"/>
  <c r="T43"/>
  <c r="S43"/>
  <c r="Q43"/>
  <c r="AI42"/>
  <c r="Y42"/>
  <c r="AA42" s="1"/>
  <c r="V42"/>
  <c r="X42" s="1"/>
  <c r="U42"/>
  <c r="S42"/>
  <c r="Q42"/>
  <c r="Y40"/>
  <c r="AA40" s="1"/>
  <c r="V40"/>
  <c r="X40" s="1"/>
  <c r="U40"/>
  <c r="T40"/>
  <c r="S40"/>
  <c r="Q40"/>
  <c r="L40"/>
  <c r="M40" s="1"/>
  <c r="F40"/>
  <c r="G40" s="1"/>
  <c r="Y39"/>
  <c r="AA39" s="1"/>
  <c r="V39"/>
  <c r="X39" s="1"/>
  <c r="U39"/>
  <c r="T39"/>
  <c r="S39"/>
  <c r="Q39"/>
  <c r="L39"/>
  <c r="M39" s="1"/>
  <c r="F39"/>
  <c r="G39" s="1"/>
  <c r="Y38"/>
  <c r="AA38" s="1"/>
  <c r="V38"/>
  <c r="X38" s="1"/>
  <c r="U38"/>
  <c r="T38"/>
  <c r="S38"/>
  <c r="Q38"/>
  <c r="M38"/>
  <c r="L38"/>
  <c r="F38"/>
  <c r="G38" s="1"/>
  <c r="Y37"/>
  <c r="AA37" s="1"/>
  <c r="V37"/>
  <c r="X37" s="1"/>
  <c r="U37"/>
  <c r="T37"/>
  <c r="S37"/>
  <c r="Q37"/>
  <c r="L37"/>
  <c r="M37" s="1"/>
  <c r="Y36"/>
  <c r="AA36" s="1"/>
  <c r="V36"/>
  <c r="X36" s="1"/>
  <c r="U36"/>
  <c r="T36"/>
  <c r="S36"/>
  <c r="Q36"/>
  <c r="Y35"/>
  <c r="AA35" s="1"/>
  <c r="V35"/>
  <c r="X35" s="1"/>
  <c r="T35"/>
  <c r="Y34"/>
  <c r="AA34" s="1"/>
  <c r="V34"/>
  <c r="X34" s="1"/>
  <c r="U34"/>
  <c r="T34"/>
  <c r="S34"/>
  <c r="Q34"/>
  <c r="L34"/>
  <c r="M34" s="1"/>
  <c r="F34"/>
  <c r="G34" s="1"/>
  <c r="AI33"/>
  <c r="T33" s="1"/>
  <c r="Y33"/>
  <c r="AA33" s="1"/>
  <c r="V33"/>
  <c r="X33" s="1"/>
  <c r="U33"/>
  <c r="S33"/>
  <c r="Q33"/>
  <c r="L33"/>
  <c r="M33" s="1"/>
  <c r="F33"/>
  <c r="G33" s="1"/>
  <c r="AL32"/>
  <c r="AL88" s="1"/>
  <c r="AH32"/>
  <c r="AH88" s="1"/>
  <c r="AE32"/>
  <c r="AE31" s="1"/>
  <c r="Y32"/>
  <c r="AA32" s="1"/>
  <c r="V32"/>
  <c r="U32"/>
  <c r="U31" s="1"/>
  <c r="T32"/>
  <c r="Q32"/>
  <c r="E32"/>
  <c r="F32" s="1"/>
  <c r="C32"/>
  <c r="C31" s="1"/>
  <c r="C13" s="1"/>
  <c r="AO31"/>
  <c r="AO13" s="1"/>
  <c r="AN31"/>
  <c r="AN13" s="1"/>
  <c r="AM31"/>
  <c r="AL31"/>
  <c r="AK31"/>
  <c r="AJ31"/>
  <c r="AG31"/>
  <c r="AF31"/>
  <c r="AD31"/>
  <c r="R31"/>
  <c r="R13" s="1"/>
  <c r="N31"/>
  <c r="N13" s="1"/>
  <c r="K31"/>
  <c r="J31"/>
  <c r="J13" s="1"/>
  <c r="I31"/>
  <c r="I13" s="1"/>
  <c r="H31"/>
  <c r="H13" s="1"/>
  <c r="D31"/>
  <c r="Y30"/>
  <c r="AA30" s="1"/>
  <c r="V30"/>
  <c r="X30" s="1"/>
  <c r="U30"/>
  <c r="T30"/>
  <c r="S30"/>
  <c r="Q30"/>
  <c r="L30"/>
  <c r="M30" s="1"/>
  <c r="F30"/>
  <c r="G30" s="1"/>
  <c r="AI29"/>
  <c r="T29" s="1"/>
  <c r="Y29"/>
  <c r="AA29" s="1"/>
  <c r="V29"/>
  <c r="X29" s="1"/>
  <c r="U29"/>
  <c r="S29"/>
  <c r="Q29"/>
  <c r="L29"/>
  <c r="M29" s="1"/>
  <c r="F29"/>
  <c r="G29" s="1"/>
  <c r="Y28"/>
  <c r="AA28" s="1"/>
  <c r="V28"/>
  <c r="X28" s="1"/>
  <c r="U28"/>
  <c r="T28"/>
  <c r="S28"/>
  <c r="Q28"/>
  <c r="L28"/>
  <c r="M28" s="1"/>
  <c r="F28"/>
  <c r="G28" s="1"/>
  <c r="AL27"/>
  <c r="AH27"/>
  <c r="S27" s="1"/>
  <c r="S89" s="1"/>
  <c r="AE27"/>
  <c r="AE89" s="1"/>
  <c r="AD27"/>
  <c r="Y27"/>
  <c r="V27"/>
  <c r="T27"/>
  <c r="F27"/>
  <c r="Y26"/>
  <c r="AA26" s="1"/>
  <c r="V26"/>
  <c r="U26"/>
  <c r="T26"/>
  <c r="S26"/>
  <c r="Q26"/>
  <c r="L26"/>
  <c r="M26" s="1"/>
  <c r="Y25"/>
  <c r="AA25" s="1"/>
  <c r="V25"/>
  <c r="X25" s="1"/>
  <c r="U25"/>
  <c r="T25"/>
  <c r="S25"/>
  <c r="Q25"/>
  <c r="Y24"/>
  <c r="AA24" s="1"/>
  <c r="V24"/>
  <c r="X24" s="1"/>
  <c r="U24"/>
  <c r="T24"/>
  <c r="S24"/>
  <c r="Q24"/>
  <c r="L24"/>
  <c r="M24" s="1"/>
  <c r="Y23"/>
  <c r="AA23" s="1"/>
  <c r="V23"/>
  <c r="X23" s="1"/>
  <c r="T23"/>
  <c r="AI22"/>
  <c r="AG22"/>
  <c r="Y22"/>
  <c r="AA22" s="1"/>
  <c r="V22"/>
  <c r="X22" s="1"/>
  <c r="U22"/>
  <c r="S22"/>
  <c r="Q22"/>
  <c r="Y21"/>
  <c r="AA21" s="1"/>
  <c r="V21"/>
  <c r="X21" s="1"/>
  <c r="U21"/>
  <c r="T21"/>
  <c r="S21"/>
  <c r="Q21"/>
  <c r="L21"/>
  <c r="M21" s="1"/>
  <c r="Y20"/>
  <c r="AA20" s="1"/>
  <c r="V20"/>
  <c r="X20" s="1"/>
  <c r="T20"/>
  <c r="Y19"/>
  <c r="V19"/>
  <c r="X19" s="1"/>
  <c r="U19"/>
  <c r="T19"/>
  <c r="S19"/>
  <c r="Q19"/>
  <c r="L19"/>
  <c r="M19" s="1"/>
  <c r="Y18"/>
  <c r="X18"/>
  <c r="U18"/>
  <c r="T18"/>
  <c r="S18"/>
  <c r="Q18"/>
  <c r="L18"/>
  <c r="M18" s="1"/>
  <c r="Y17"/>
  <c r="V17"/>
  <c r="X17" s="1"/>
  <c r="U17"/>
  <c r="T17"/>
  <c r="S17"/>
  <c r="Q17"/>
  <c r="L17"/>
  <c r="M17" s="1"/>
  <c r="Y16"/>
  <c r="AA16" s="1"/>
  <c r="V16"/>
  <c r="U16"/>
  <c r="T16"/>
  <c r="S16"/>
  <c r="Q16"/>
  <c r="L16"/>
  <c r="M16" s="1"/>
  <c r="Y15"/>
  <c r="AA15" s="1"/>
  <c r="V15"/>
  <c r="X15" s="1"/>
  <c r="U15"/>
  <c r="T15"/>
  <c r="S15"/>
  <c r="Q15"/>
  <c r="L15"/>
  <c r="M15" s="1"/>
  <c r="AI14"/>
  <c r="AI90" s="1"/>
  <c r="AE14"/>
  <c r="AE90" s="1"/>
  <c r="Y14"/>
  <c r="V14"/>
  <c r="X14" s="1"/>
  <c r="U14"/>
  <c r="S14"/>
  <c r="F14"/>
  <c r="G14" s="1"/>
  <c r="AM13"/>
  <c r="AK13"/>
  <c r="AJ13"/>
  <c r="AF13"/>
  <c r="D13"/>
  <c r="Y12"/>
  <c r="AA12" s="1"/>
  <c r="V12"/>
  <c r="X12" s="1"/>
  <c r="T12"/>
  <c r="Q12"/>
  <c r="Y11"/>
  <c r="AA11" s="1"/>
  <c r="V11"/>
  <c r="X11" s="1"/>
  <c r="U11"/>
  <c r="T11"/>
  <c r="S11"/>
  <c r="Q11"/>
  <c r="L11"/>
  <c r="M11" s="1"/>
  <c r="E11"/>
  <c r="F11" s="1"/>
  <c r="C11"/>
  <c r="C7" s="1"/>
  <c r="AE10"/>
  <c r="AE85" s="1"/>
  <c r="Y10"/>
  <c r="AA10" s="1"/>
  <c r="V10"/>
  <c r="X10" s="1"/>
  <c r="U10"/>
  <c r="T10"/>
  <c r="S10"/>
  <c r="Y9"/>
  <c r="AA9" s="1"/>
  <c r="V9"/>
  <c r="T9"/>
  <c r="Q9"/>
  <c r="Y8"/>
  <c r="V8"/>
  <c r="X8" s="1"/>
  <c r="T8"/>
  <c r="AO7"/>
  <c r="AN7"/>
  <c r="AM7"/>
  <c r="AL7"/>
  <c r="AK7"/>
  <c r="AJ7"/>
  <c r="AI7"/>
  <c r="AH7"/>
  <c r="AG7"/>
  <c r="AF7"/>
  <c r="AD7"/>
  <c r="AB7"/>
  <c r="Z7"/>
  <c r="W7"/>
  <c r="R7"/>
  <c r="N7"/>
  <c r="N85" s="1"/>
  <c r="K7"/>
  <c r="K86" s="1"/>
  <c r="J7"/>
  <c r="J86" s="1"/>
  <c r="J92" s="1"/>
  <c r="I7"/>
  <c r="I86" s="1"/>
  <c r="H7"/>
  <c r="H86" s="1"/>
  <c r="H92" s="1"/>
  <c r="F7"/>
  <c r="D7"/>
  <c r="V8" i="13"/>
  <c r="V51"/>
  <c r="X71"/>
  <c r="Y71"/>
  <c r="Z71"/>
  <c r="AB71"/>
  <c r="AD71"/>
  <c r="AE71"/>
  <c r="AF71"/>
  <c r="AG71"/>
  <c r="AH71"/>
  <c r="M95" i="15" l="1"/>
  <c r="AG91" i="13"/>
  <c r="AH91"/>
  <c r="AD91"/>
  <c r="T22" i="14"/>
  <c r="AL13"/>
  <c r="T74"/>
  <c r="W71"/>
  <c r="W6" s="1"/>
  <c r="W5" s="1"/>
  <c r="Z79"/>
  <c r="AA79" s="1"/>
  <c r="AB79" s="1"/>
  <c r="Z80"/>
  <c r="AA80" s="1"/>
  <c r="AB80" s="1"/>
  <c r="Z81"/>
  <c r="AA81" s="1"/>
  <c r="AB81" s="1"/>
  <c r="Z82"/>
  <c r="AA82" s="1"/>
  <c r="AB82" s="1"/>
  <c r="U7"/>
  <c r="AJ6"/>
  <c r="AJ5" s="1"/>
  <c r="Y71"/>
  <c r="Q53"/>
  <c r="Q52" s="1"/>
  <c r="AG13"/>
  <c r="AH31"/>
  <c r="AH13" s="1"/>
  <c r="G32"/>
  <c r="X51"/>
  <c r="AA27"/>
  <c r="AA72"/>
  <c r="Z71"/>
  <c r="AA71" s="1"/>
  <c r="T14"/>
  <c r="Q27"/>
  <c r="E52"/>
  <c r="T67"/>
  <c r="T87" s="1"/>
  <c r="E31"/>
  <c r="E13" s="1"/>
  <c r="E6" s="1"/>
  <c r="E83" s="1"/>
  <c r="AE7"/>
  <c r="L7" s="1"/>
  <c r="L85" s="1"/>
  <c r="Q10"/>
  <c r="Q85" s="1"/>
  <c r="E7"/>
  <c r="L10"/>
  <c r="M10" s="1"/>
  <c r="M7" s="1"/>
  <c r="M85" s="1"/>
  <c r="U85"/>
  <c r="Q14"/>
  <c r="V31"/>
  <c r="V13" s="1"/>
  <c r="Y67"/>
  <c r="AA67" s="1"/>
  <c r="G75"/>
  <c r="M86"/>
  <c r="AA76"/>
  <c r="AB76" s="1"/>
  <c r="X71"/>
  <c r="R97"/>
  <c r="AA18"/>
  <c r="AA19"/>
  <c r="Z6"/>
  <c r="Z5" s="1"/>
  <c r="G53"/>
  <c r="G52" s="1"/>
  <c r="F52"/>
  <c r="D6"/>
  <c r="D5" s="1"/>
  <c r="AH6"/>
  <c r="AH5" s="1"/>
  <c r="H6"/>
  <c r="H5" s="1"/>
  <c r="H95" s="1"/>
  <c r="S71"/>
  <c r="AF92"/>
  <c r="Y31"/>
  <c r="Y13" s="1"/>
  <c r="T85"/>
  <c r="L86"/>
  <c r="AN6"/>
  <c r="AN5" s="1"/>
  <c r="S52"/>
  <c r="R92"/>
  <c r="S85"/>
  <c r="G11"/>
  <c r="G7" s="1"/>
  <c r="AF6"/>
  <c r="AF5" s="1"/>
  <c r="L14"/>
  <c r="M14" s="1"/>
  <c r="U27"/>
  <c r="U13" s="1"/>
  <c r="J6"/>
  <c r="J5" s="1"/>
  <c r="J95" s="1"/>
  <c r="AE13"/>
  <c r="AK6"/>
  <c r="AK5" s="1"/>
  <c r="AH89"/>
  <c r="AH92" s="1"/>
  <c r="V85"/>
  <c r="I6"/>
  <c r="I5" s="1"/>
  <c r="R6"/>
  <c r="R5" s="1"/>
  <c r="C6"/>
  <c r="C83" s="1"/>
  <c r="C84" s="1"/>
  <c r="S32"/>
  <c r="S31" s="1"/>
  <c r="S13" s="1"/>
  <c r="T53"/>
  <c r="T52" s="1"/>
  <c r="AI52"/>
  <c r="T86"/>
  <c r="AJ92"/>
  <c r="AJ95" s="1"/>
  <c r="AN92"/>
  <c r="Y89"/>
  <c r="T90"/>
  <c r="S90"/>
  <c r="Q86"/>
  <c r="Q89"/>
  <c r="Q31"/>
  <c r="Q13" s="1"/>
  <c r="Q90"/>
  <c r="U86"/>
  <c r="AM97"/>
  <c r="Y86"/>
  <c r="AF97"/>
  <c r="AJ97"/>
  <c r="AJ98" s="1"/>
  <c r="AN97"/>
  <c r="I92"/>
  <c r="I95" s="1"/>
  <c r="N92"/>
  <c r="AG6"/>
  <c r="AG5" s="1"/>
  <c r="AO6"/>
  <c r="AO5" s="1"/>
  <c r="U89"/>
  <c r="F31"/>
  <c r="F13" s="1"/>
  <c r="F6" s="1"/>
  <c r="S86"/>
  <c r="AA45"/>
  <c r="AA46"/>
  <c r="K92"/>
  <c r="K95" s="1"/>
  <c r="X9"/>
  <c r="V90"/>
  <c r="V7"/>
  <c r="G27"/>
  <c r="L27"/>
  <c r="AD13"/>
  <c r="AD6" s="1"/>
  <c r="AD5" s="1"/>
  <c r="AI89"/>
  <c r="T42"/>
  <c r="T89" s="1"/>
  <c r="AH97"/>
  <c r="T7"/>
  <c r="G31"/>
  <c r="Y53"/>
  <c r="U71"/>
  <c r="Y85"/>
  <c r="L87"/>
  <c r="AG88"/>
  <c r="AG92" s="1"/>
  <c r="AD89"/>
  <c r="AD92" s="1"/>
  <c r="Q88"/>
  <c r="X16"/>
  <c r="V88"/>
  <c r="AE53"/>
  <c r="AE52" s="1"/>
  <c r="AE6" s="1"/>
  <c r="AE5" s="1"/>
  <c r="L63"/>
  <c r="M63" s="1"/>
  <c r="M53" s="1"/>
  <c r="M52" s="1"/>
  <c r="AK92"/>
  <c r="AK95" s="1"/>
  <c r="AK97"/>
  <c r="AK98" s="1"/>
  <c r="AO92"/>
  <c r="AO97"/>
  <c r="N6"/>
  <c r="N5" s="1"/>
  <c r="S7"/>
  <c r="U90"/>
  <c r="AI88"/>
  <c r="AI92" s="1"/>
  <c r="AL6"/>
  <c r="AL5" s="1"/>
  <c r="AI31"/>
  <c r="AI13" s="1"/>
  <c r="AI6" s="1"/>
  <c r="AI5" s="1"/>
  <c r="L53"/>
  <c r="L52" s="1"/>
  <c r="L71"/>
  <c r="T73"/>
  <c r="AA75"/>
  <c r="AB75" s="1"/>
  <c r="AB71" s="1"/>
  <c r="AB6" s="1"/>
  <c r="AB5" s="1"/>
  <c r="AM92"/>
  <c r="AA14"/>
  <c r="U88"/>
  <c r="X32"/>
  <c r="AL89"/>
  <c r="AL92" s="1"/>
  <c r="L90"/>
  <c r="AA8"/>
  <c r="Y7"/>
  <c r="X26"/>
  <c r="V86"/>
  <c r="X27"/>
  <c r="V89"/>
  <c r="AE88"/>
  <c r="AE92" s="1"/>
  <c r="L32"/>
  <c r="X54"/>
  <c r="V53"/>
  <c r="AD97"/>
  <c r="Y88"/>
  <c r="Y90"/>
  <c r="Q7"/>
  <c r="AM52"/>
  <c r="AM6" s="1"/>
  <c r="AM5" s="1"/>
  <c r="V67"/>
  <c r="AC71" i="13"/>
  <c r="N95" i="14" l="1"/>
  <c r="AD95"/>
  <c r="S88"/>
  <c r="AH95"/>
  <c r="U6"/>
  <c r="U5" s="1"/>
  <c r="R98"/>
  <c r="M90"/>
  <c r="AF98"/>
  <c r="T31"/>
  <c r="T13" s="1"/>
  <c r="Y87"/>
  <c r="Y97" s="1"/>
  <c r="AG95"/>
  <c r="AA31"/>
  <c r="AA13" s="1"/>
  <c r="AF95"/>
  <c r="AD98"/>
  <c r="R95"/>
  <c r="T77" i="13"/>
  <c r="AO98" i="14"/>
  <c r="AE95"/>
  <c r="C5"/>
  <c r="D83"/>
  <c r="D84" s="1"/>
  <c r="Q92"/>
  <c r="AN95"/>
  <c r="E84"/>
  <c r="E5"/>
  <c r="Q6"/>
  <c r="Q5" s="1"/>
  <c r="Q95" s="1"/>
  <c r="AO95"/>
  <c r="Q97"/>
  <c r="AH98"/>
  <c r="AL95"/>
  <c r="AN98"/>
  <c r="G13"/>
  <c r="G6" s="1"/>
  <c r="G83" s="1"/>
  <c r="S97"/>
  <c r="S6"/>
  <c r="S5" s="1"/>
  <c r="S95" s="1"/>
  <c r="S92"/>
  <c r="AM95"/>
  <c r="U92"/>
  <c r="U95" s="1"/>
  <c r="AI97"/>
  <c r="AI98" s="1"/>
  <c r="AG97"/>
  <c r="AG98" s="1"/>
  <c r="AI95"/>
  <c r="L31"/>
  <c r="M31" s="1"/>
  <c r="M32"/>
  <c r="M88" s="1"/>
  <c r="L88"/>
  <c r="F83"/>
  <c r="F5"/>
  <c r="U97"/>
  <c r="U98" s="1"/>
  <c r="AL97"/>
  <c r="AL98" s="1"/>
  <c r="T88"/>
  <c r="AE97"/>
  <c r="AE98" s="1"/>
  <c r="X31"/>
  <c r="X13" s="1"/>
  <c r="V87"/>
  <c r="V97" s="1"/>
  <c r="X67"/>
  <c r="V52"/>
  <c r="X52" s="1"/>
  <c r="X53"/>
  <c r="AA7"/>
  <c r="Y92"/>
  <c r="M27"/>
  <c r="L89"/>
  <c r="T6"/>
  <c r="T5" s="1"/>
  <c r="AA53"/>
  <c r="Y52"/>
  <c r="AA52" s="1"/>
  <c r="X7"/>
  <c r="AM98"/>
  <c r="AA71" i="13"/>
  <c r="Q98" i="14" l="1"/>
  <c r="G5"/>
  <c r="S98"/>
  <c r="V92"/>
  <c r="V6"/>
  <c r="X6" s="1"/>
  <c r="L92"/>
  <c r="L13"/>
  <c r="L6" s="1"/>
  <c r="L5" s="1"/>
  <c r="M89"/>
  <c r="M92" s="1"/>
  <c r="M13"/>
  <c r="M6" s="1"/>
  <c r="M5" s="1"/>
  <c r="T97"/>
  <c r="T98" s="1"/>
  <c r="T92"/>
  <c r="T95" s="1"/>
  <c r="Y6"/>
  <c r="Y98" s="1"/>
  <c r="T73" i="13"/>
  <c r="U76"/>
  <c r="V76"/>
  <c r="M95" i="14" l="1"/>
  <c r="V98"/>
  <c r="V5"/>
  <c r="X5" s="1"/>
  <c r="L95"/>
  <c r="Y5"/>
  <c r="AA6"/>
  <c r="AE96" i="13"/>
  <c r="AD96"/>
  <c r="Z96"/>
  <c r="AA96"/>
  <c r="S79"/>
  <c r="E79"/>
  <c r="F79" s="1"/>
  <c r="C79"/>
  <c r="P88"/>
  <c r="R88"/>
  <c r="P89"/>
  <c r="R89"/>
  <c r="J89"/>
  <c r="K89"/>
  <c r="N89"/>
  <c r="O89"/>
  <c r="U20"/>
  <c r="T20"/>
  <c r="P84"/>
  <c r="R84"/>
  <c r="P85"/>
  <c r="R85"/>
  <c r="P86"/>
  <c r="R86"/>
  <c r="P87"/>
  <c r="R87"/>
  <c r="V95" i="14" l="1"/>
  <c r="AA5"/>
  <c r="Y95"/>
  <c r="G79" i="13"/>
  <c r="AG96"/>
  <c r="R96"/>
  <c r="V20"/>
  <c r="AC96" l="1"/>
  <c r="U49"/>
  <c r="V49"/>
  <c r="T49"/>
  <c r="AH31"/>
  <c r="AH13" s="1"/>
  <c r="V23"/>
  <c r="U23"/>
  <c r="T23"/>
  <c r="U35"/>
  <c r="V35"/>
  <c r="T35"/>
  <c r="AC31"/>
  <c r="U8"/>
  <c r="T8"/>
  <c r="V75"/>
  <c r="U75"/>
  <c r="V74"/>
  <c r="U74"/>
  <c r="V73"/>
  <c r="U73"/>
  <c r="V69"/>
  <c r="U69"/>
  <c r="V68"/>
  <c r="U68"/>
  <c r="U67"/>
  <c r="V66"/>
  <c r="U66"/>
  <c r="V65"/>
  <c r="U65"/>
  <c r="V64"/>
  <c r="U64"/>
  <c r="V63"/>
  <c r="U63"/>
  <c r="V62"/>
  <c r="U62"/>
  <c r="V61"/>
  <c r="U61"/>
  <c r="V60"/>
  <c r="U60"/>
  <c r="V59"/>
  <c r="U59"/>
  <c r="V58"/>
  <c r="U58"/>
  <c r="V57"/>
  <c r="U57"/>
  <c r="V56"/>
  <c r="U56"/>
  <c r="U55"/>
  <c r="V54"/>
  <c r="U54"/>
  <c r="U51"/>
  <c r="V50"/>
  <c r="U50"/>
  <c r="V48"/>
  <c r="U48"/>
  <c r="V47"/>
  <c r="U47"/>
  <c r="V46"/>
  <c r="U46"/>
  <c r="V45"/>
  <c r="U45"/>
  <c r="V44"/>
  <c r="U44"/>
  <c r="V43"/>
  <c r="U43"/>
  <c r="V42"/>
  <c r="U42"/>
  <c r="V40"/>
  <c r="U40"/>
  <c r="V39"/>
  <c r="U39"/>
  <c r="V38"/>
  <c r="U38"/>
  <c r="V37"/>
  <c r="U37"/>
  <c r="V36"/>
  <c r="U36"/>
  <c r="V34"/>
  <c r="U34"/>
  <c r="V33"/>
  <c r="U33"/>
  <c r="V32"/>
  <c r="U32"/>
  <c r="V12"/>
  <c r="U12"/>
  <c r="V30"/>
  <c r="U30"/>
  <c r="V29"/>
  <c r="U29"/>
  <c r="V28"/>
  <c r="U28"/>
  <c r="V27"/>
  <c r="U27"/>
  <c r="V26"/>
  <c r="U26"/>
  <c r="V25"/>
  <c r="U25"/>
  <c r="V24"/>
  <c r="U24"/>
  <c r="V22"/>
  <c r="U22"/>
  <c r="V21"/>
  <c r="U21"/>
  <c r="V19"/>
  <c r="U19"/>
  <c r="U89" s="1"/>
  <c r="V18"/>
  <c r="U18"/>
  <c r="V17"/>
  <c r="U17"/>
  <c r="V16"/>
  <c r="U16"/>
  <c r="V15"/>
  <c r="U15"/>
  <c r="V14"/>
  <c r="U14"/>
  <c r="V11"/>
  <c r="V84" s="1"/>
  <c r="U11"/>
  <c r="U84" s="1"/>
  <c r="U91" s="1"/>
  <c r="V10"/>
  <c r="T74"/>
  <c r="T69"/>
  <c r="T68"/>
  <c r="T67"/>
  <c r="T66"/>
  <c r="T65"/>
  <c r="T64"/>
  <c r="T63"/>
  <c r="T62"/>
  <c r="T61"/>
  <c r="T60"/>
  <c r="T59"/>
  <c r="T58"/>
  <c r="T57"/>
  <c r="T56"/>
  <c r="T55"/>
  <c r="T54"/>
  <c r="T51"/>
  <c r="T50"/>
  <c r="T48"/>
  <c r="T47"/>
  <c r="T46"/>
  <c r="T45"/>
  <c r="T44"/>
  <c r="T43"/>
  <c r="T42"/>
  <c r="T40"/>
  <c r="T39"/>
  <c r="T38"/>
  <c r="T37"/>
  <c r="T36"/>
  <c r="T33"/>
  <c r="T32"/>
  <c r="T30"/>
  <c r="T29"/>
  <c r="T28"/>
  <c r="T27"/>
  <c r="T26"/>
  <c r="T25"/>
  <c r="T24"/>
  <c r="T22"/>
  <c r="T21"/>
  <c r="T19"/>
  <c r="T89" s="1"/>
  <c r="T18"/>
  <c r="T17"/>
  <c r="T16"/>
  <c r="T15"/>
  <c r="T14"/>
  <c r="T84"/>
  <c r="V9"/>
  <c r="U9"/>
  <c r="AH77"/>
  <c r="AG77"/>
  <c r="AH53"/>
  <c r="AG53"/>
  <c r="AG52" s="1"/>
  <c r="AG31"/>
  <c r="AG13" s="1"/>
  <c r="AF77"/>
  <c r="AF53"/>
  <c r="AF52" s="1"/>
  <c r="AF31"/>
  <c r="AF13" s="1"/>
  <c r="AE77"/>
  <c r="AE53"/>
  <c r="AE52" s="1"/>
  <c r="AE31"/>
  <c r="AE13" s="1"/>
  <c r="AC77"/>
  <c r="AC53"/>
  <c r="AC52" s="1"/>
  <c r="AA77"/>
  <c r="AA53"/>
  <c r="AA52" s="1"/>
  <c r="AA31"/>
  <c r="AA13" s="1"/>
  <c r="AA7"/>
  <c r="Q54"/>
  <c r="I89"/>
  <c r="H89"/>
  <c r="O88"/>
  <c r="N88"/>
  <c r="K88"/>
  <c r="J88"/>
  <c r="I88"/>
  <c r="H88"/>
  <c r="O87"/>
  <c r="N87"/>
  <c r="K87"/>
  <c r="J87"/>
  <c r="I87"/>
  <c r="H87"/>
  <c r="O86"/>
  <c r="N86"/>
  <c r="K86"/>
  <c r="J86"/>
  <c r="H86"/>
  <c r="O85"/>
  <c r="N85"/>
  <c r="O84"/>
  <c r="S81"/>
  <c r="S77" s="1"/>
  <c r="E81"/>
  <c r="F81" s="1"/>
  <c r="C81"/>
  <c r="Q78"/>
  <c r="Q77" s="1"/>
  <c r="AD77"/>
  <c r="AB77"/>
  <c r="Z77"/>
  <c r="Y77"/>
  <c r="X77"/>
  <c r="R77"/>
  <c r="S75"/>
  <c r="Q75"/>
  <c r="E75"/>
  <c r="F75" s="1"/>
  <c r="C75"/>
  <c r="S74"/>
  <c r="Q74"/>
  <c r="L74"/>
  <c r="M74" s="1"/>
  <c r="F74"/>
  <c r="G74" s="1"/>
  <c r="S73"/>
  <c r="Q73"/>
  <c r="L73"/>
  <c r="R71"/>
  <c r="S70"/>
  <c r="Q70"/>
  <c r="L70"/>
  <c r="M70" s="1"/>
  <c r="F70"/>
  <c r="G70" s="1"/>
  <c r="S69"/>
  <c r="Q69"/>
  <c r="L69"/>
  <c r="M69" s="1"/>
  <c r="F69"/>
  <c r="G69" s="1"/>
  <c r="S68"/>
  <c r="Q68"/>
  <c r="S67"/>
  <c r="Q67"/>
  <c r="L67"/>
  <c r="L86" s="1"/>
  <c r="I67"/>
  <c r="I86" s="1"/>
  <c r="F67"/>
  <c r="G67" s="1"/>
  <c r="S66"/>
  <c r="Q66"/>
  <c r="L66"/>
  <c r="M66" s="1"/>
  <c r="F66"/>
  <c r="G66" s="1"/>
  <c r="S65"/>
  <c r="Q65"/>
  <c r="L65"/>
  <c r="M65" s="1"/>
  <c r="F65"/>
  <c r="G65" s="1"/>
  <c r="S64"/>
  <c r="Q64"/>
  <c r="L64"/>
  <c r="M64" s="1"/>
  <c r="F64"/>
  <c r="G64" s="1"/>
  <c r="Y63"/>
  <c r="L63" s="1"/>
  <c r="M63" s="1"/>
  <c r="S63"/>
  <c r="F63"/>
  <c r="G63" s="1"/>
  <c r="S62"/>
  <c r="Q62"/>
  <c r="L62"/>
  <c r="M62" s="1"/>
  <c r="F62"/>
  <c r="G62" s="1"/>
  <c r="S61"/>
  <c r="Q61"/>
  <c r="L61"/>
  <c r="M61" s="1"/>
  <c r="F61"/>
  <c r="G61" s="1"/>
  <c r="S60"/>
  <c r="Q60"/>
  <c r="S59"/>
  <c r="Q59"/>
  <c r="S58"/>
  <c r="Q58"/>
  <c r="L58"/>
  <c r="M58" s="1"/>
  <c r="F58"/>
  <c r="G58" s="1"/>
  <c r="S57"/>
  <c r="Q57"/>
  <c r="L57"/>
  <c r="M57" s="1"/>
  <c r="F57"/>
  <c r="G57" s="1"/>
  <c r="S56"/>
  <c r="Q56"/>
  <c r="L56"/>
  <c r="M56" s="1"/>
  <c r="F56"/>
  <c r="G56" s="1"/>
  <c r="S55"/>
  <c r="Q55"/>
  <c r="L55"/>
  <c r="M55" s="1"/>
  <c r="F55"/>
  <c r="G55" s="1"/>
  <c r="S54"/>
  <c r="L54"/>
  <c r="M54" s="1"/>
  <c r="F54"/>
  <c r="G54" s="1"/>
  <c r="AD53"/>
  <c r="AD52" s="1"/>
  <c r="AB53"/>
  <c r="AB52" s="1"/>
  <c r="Z53"/>
  <c r="Z52" s="1"/>
  <c r="X53"/>
  <c r="X52" s="1"/>
  <c r="R53"/>
  <c r="R52" s="1"/>
  <c r="N53"/>
  <c r="N52" s="1"/>
  <c r="K53"/>
  <c r="K52" s="1"/>
  <c r="K6" s="1"/>
  <c r="K5" s="1"/>
  <c r="J53"/>
  <c r="J52" s="1"/>
  <c r="I53"/>
  <c r="I52" s="1"/>
  <c r="H53"/>
  <c r="H52" s="1"/>
  <c r="E53"/>
  <c r="F53" s="1"/>
  <c r="D53"/>
  <c r="D52" s="1"/>
  <c r="C53"/>
  <c r="C52" s="1"/>
  <c r="S51"/>
  <c r="Q51"/>
  <c r="L51"/>
  <c r="M51" s="1"/>
  <c r="S50"/>
  <c r="Q50"/>
  <c r="L50"/>
  <c r="M50" s="1"/>
  <c r="F50"/>
  <c r="G50" s="1"/>
  <c r="S48"/>
  <c r="Q48"/>
  <c r="L48"/>
  <c r="M48" s="1"/>
  <c r="F48"/>
  <c r="G48" s="1"/>
  <c r="Y47"/>
  <c r="L47" s="1"/>
  <c r="M47" s="1"/>
  <c r="S47"/>
  <c r="F47"/>
  <c r="G47" s="1"/>
  <c r="S46"/>
  <c r="Q46"/>
  <c r="S45"/>
  <c r="Q45"/>
  <c r="S44"/>
  <c r="Q44"/>
  <c r="S43"/>
  <c r="Q43"/>
  <c r="S42"/>
  <c r="Q42"/>
  <c r="S40"/>
  <c r="Q40"/>
  <c r="L40"/>
  <c r="M40" s="1"/>
  <c r="F40"/>
  <c r="G40" s="1"/>
  <c r="S39"/>
  <c r="Q39"/>
  <c r="L39"/>
  <c r="M39" s="1"/>
  <c r="F39"/>
  <c r="G39" s="1"/>
  <c r="S38"/>
  <c r="Q38"/>
  <c r="L38"/>
  <c r="M38" s="1"/>
  <c r="F38"/>
  <c r="G38" s="1"/>
  <c r="S37"/>
  <c r="Q37"/>
  <c r="L37"/>
  <c r="M37" s="1"/>
  <c r="S36"/>
  <c r="Q36"/>
  <c r="S34"/>
  <c r="Q34"/>
  <c r="L34"/>
  <c r="M34" s="1"/>
  <c r="F34"/>
  <c r="G34" s="1"/>
  <c r="S33"/>
  <c r="Q33"/>
  <c r="L33"/>
  <c r="M33" s="1"/>
  <c r="F33"/>
  <c r="G33" s="1"/>
  <c r="AB32"/>
  <c r="Y32"/>
  <c r="E32"/>
  <c r="F32" s="1"/>
  <c r="C32"/>
  <c r="C31" s="1"/>
  <c r="C13" s="1"/>
  <c r="AD31"/>
  <c r="AD13" s="1"/>
  <c r="Z31"/>
  <c r="Z13" s="1"/>
  <c r="X31"/>
  <c r="R31"/>
  <c r="R13" s="1"/>
  <c r="N31"/>
  <c r="N13" s="1"/>
  <c r="K31"/>
  <c r="J31"/>
  <c r="J13" s="1"/>
  <c r="I31"/>
  <c r="I13" s="1"/>
  <c r="H31"/>
  <c r="H13" s="1"/>
  <c r="D31"/>
  <c r="D13" s="1"/>
  <c r="S30"/>
  <c r="Q30"/>
  <c r="L30"/>
  <c r="M30" s="1"/>
  <c r="F30"/>
  <c r="G30" s="1"/>
  <c r="S29"/>
  <c r="Q29"/>
  <c r="L29"/>
  <c r="M29" s="1"/>
  <c r="F29"/>
  <c r="G29" s="1"/>
  <c r="S28"/>
  <c r="Q28"/>
  <c r="L28"/>
  <c r="M28" s="1"/>
  <c r="F28"/>
  <c r="G28" s="1"/>
  <c r="AB27"/>
  <c r="Y27"/>
  <c r="X27"/>
  <c r="S27"/>
  <c r="F27"/>
  <c r="G27" s="1"/>
  <c r="S26"/>
  <c r="Q26"/>
  <c r="L26"/>
  <c r="M26" s="1"/>
  <c r="S25"/>
  <c r="Q25"/>
  <c r="S24"/>
  <c r="Q24"/>
  <c r="L24"/>
  <c r="M24" s="1"/>
  <c r="S22"/>
  <c r="Q22"/>
  <c r="S21"/>
  <c r="Q21"/>
  <c r="L21"/>
  <c r="M21" s="1"/>
  <c r="S19"/>
  <c r="Q19"/>
  <c r="L19"/>
  <c r="M19" s="1"/>
  <c r="S18"/>
  <c r="Q18"/>
  <c r="L18"/>
  <c r="M18" s="1"/>
  <c r="S17"/>
  <c r="Q17"/>
  <c r="L17"/>
  <c r="M17" s="1"/>
  <c r="S16"/>
  <c r="Q16"/>
  <c r="L16"/>
  <c r="M16" s="1"/>
  <c r="S15"/>
  <c r="Q15"/>
  <c r="L15"/>
  <c r="Y14"/>
  <c r="S14"/>
  <c r="F14"/>
  <c r="G14" s="1"/>
  <c r="Q12"/>
  <c r="S11"/>
  <c r="Q11"/>
  <c r="L11"/>
  <c r="M11" s="1"/>
  <c r="E11"/>
  <c r="F11" s="1"/>
  <c r="C11"/>
  <c r="C7" s="1"/>
  <c r="Y10"/>
  <c r="S10"/>
  <c r="Q9"/>
  <c r="AB7"/>
  <c r="Z7"/>
  <c r="X7"/>
  <c r="R7"/>
  <c r="N7"/>
  <c r="N84" s="1"/>
  <c r="K7"/>
  <c r="K85" s="1"/>
  <c r="J7"/>
  <c r="J85" s="1"/>
  <c r="I7"/>
  <c r="I85" s="1"/>
  <c r="H7"/>
  <c r="H85" s="1"/>
  <c r="D7"/>
  <c r="V89" l="1"/>
  <c r="V91" s="1"/>
  <c r="T91"/>
  <c r="T96"/>
  <c r="Q86"/>
  <c r="S86"/>
  <c r="T86"/>
  <c r="AB96"/>
  <c r="X96"/>
  <c r="AH96"/>
  <c r="AF96"/>
  <c r="V53"/>
  <c r="U71"/>
  <c r="V71"/>
  <c r="T71"/>
  <c r="V31"/>
  <c r="T31"/>
  <c r="T13" s="1"/>
  <c r="L14"/>
  <c r="L89" s="1"/>
  <c r="L32"/>
  <c r="L31" s="1"/>
  <c r="M31" s="1"/>
  <c r="Y7"/>
  <c r="L7" s="1"/>
  <c r="L84" s="1"/>
  <c r="S32"/>
  <c r="S87" s="1"/>
  <c r="Q32"/>
  <c r="Q87" s="1"/>
  <c r="K91"/>
  <c r="K94" s="1"/>
  <c r="Q85"/>
  <c r="S88"/>
  <c r="S84"/>
  <c r="S89"/>
  <c r="S85"/>
  <c r="M15"/>
  <c r="AF6"/>
  <c r="U53"/>
  <c r="L71"/>
  <c r="AH52"/>
  <c r="V67"/>
  <c r="T53"/>
  <c r="T52" s="1"/>
  <c r="U31"/>
  <c r="H91"/>
  <c r="I91"/>
  <c r="Q14"/>
  <c r="Q47"/>
  <c r="E52"/>
  <c r="N91"/>
  <c r="J91"/>
  <c r="Q27"/>
  <c r="Q88" s="1"/>
  <c r="D6"/>
  <c r="D82" s="1"/>
  <c r="Y31"/>
  <c r="Y13" s="1"/>
  <c r="G53"/>
  <c r="G52" s="1"/>
  <c r="Y53"/>
  <c r="Y52" s="1"/>
  <c r="S53"/>
  <c r="S52" s="1"/>
  <c r="S71"/>
  <c r="S7"/>
  <c r="Q71"/>
  <c r="AG6"/>
  <c r="AG97" s="1"/>
  <c r="AE6"/>
  <c r="AE97" s="1"/>
  <c r="AA6"/>
  <c r="AA97" s="1"/>
  <c r="AC13"/>
  <c r="AC6" s="1"/>
  <c r="AC97" s="1"/>
  <c r="J6"/>
  <c r="J5" s="1"/>
  <c r="I6"/>
  <c r="I5" s="1"/>
  <c r="Z6"/>
  <c r="Z97" s="1"/>
  <c r="H6"/>
  <c r="H5" s="1"/>
  <c r="G32"/>
  <c r="G31" s="1"/>
  <c r="G13" s="1"/>
  <c r="F31"/>
  <c r="F13" s="1"/>
  <c r="Q10"/>
  <c r="Q84" s="1"/>
  <c r="E31"/>
  <c r="E13" s="1"/>
  <c r="AD6"/>
  <c r="AD97" s="1"/>
  <c r="Q63"/>
  <c r="Q53" s="1"/>
  <c r="Q52" s="1"/>
  <c r="G81"/>
  <c r="R6"/>
  <c r="R5" s="1"/>
  <c r="R97" s="1"/>
  <c r="M67"/>
  <c r="M86" s="1"/>
  <c r="R91"/>
  <c r="M53"/>
  <c r="L85"/>
  <c r="N6"/>
  <c r="N5" s="1"/>
  <c r="M85"/>
  <c r="C6"/>
  <c r="G11"/>
  <c r="G7" s="1"/>
  <c r="F7"/>
  <c r="E7"/>
  <c r="L27"/>
  <c r="G75"/>
  <c r="AB31"/>
  <c r="AB13" s="1"/>
  <c r="AB6" s="1"/>
  <c r="L53"/>
  <c r="L52" s="1"/>
  <c r="L10"/>
  <c r="M10" s="1"/>
  <c r="M7" s="1"/>
  <c r="M84" s="1"/>
  <c r="X13"/>
  <c r="X6" s="1"/>
  <c r="F52"/>
  <c r="R78" i="11"/>
  <c r="T78"/>
  <c r="V78"/>
  <c r="Y78"/>
  <c r="AA78"/>
  <c r="Q11"/>
  <c r="X9"/>
  <c r="X7" s="1"/>
  <c r="AB65"/>
  <c r="R65"/>
  <c r="T65"/>
  <c r="W65"/>
  <c r="X65"/>
  <c r="Y65"/>
  <c r="Z65"/>
  <c r="AA65"/>
  <c r="R47"/>
  <c r="R46" s="1"/>
  <c r="T47"/>
  <c r="T46" s="1"/>
  <c r="W47"/>
  <c r="W46" s="1"/>
  <c r="Y47"/>
  <c r="Y46" s="1"/>
  <c r="Z47"/>
  <c r="Z46" s="1"/>
  <c r="AA47"/>
  <c r="AA46" s="1"/>
  <c r="AB47"/>
  <c r="AB46" s="1"/>
  <c r="R28"/>
  <c r="T28"/>
  <c r="V28"/>
  <c r="W28"/>
  <c r="Y28"/>
  <c r="Y12" s="1"/>
  <c r="AA28"/>
  <c r="AA12" s="1"/>
  <c r="R12"/>
  <c r="T12"/>
  <c r="R7"/>
  <c r="T7"/>
  <c r="W7"/>
  <c r="Y7"/>
  <c r="Z7"/>
  <c r="AA7"/>
  <c r="AB7"/>
  <c r="Q66"/>
  <c r="R69"/>
  <c r="T69"/>
  <c r="W69"/>
  <c r="X69"/>
  <c r="Y69"/>
  <c r="Z69"/>
  <c r="AA69"/>
  <c r="AB69"/>
  <c r="AB97" i="13" l="1"/>
  <c r="Y96"/>
  <c r="L87"/>
  <c r="X97"/>
  <c r="M32"/>
  <c r="M87" s="1"/>
  <c r="V96"/>
  <c r="AF97"/>
  <c r="V13"/>
  <c r="V52"/>
  <c r="U52"/>
  <c r="U13"/>
  <c r="T6"/>
  <c r="T5" s="1"/>
  <c r="T94" s="1"/>
  <c r="M14"/>
  <c r="M89" s="1"/>
  <c r="S31"/>
  <c r="S13" s="1"/>
  <c r="S6" s="1"/>
  <c r="S5" s="1"/>
  <c r="U96"/>
  <c r="AE5"/>
  <c r="AE94" s="1"/>
  <c r="X5"/>
  <c r="X94" s="1"/>
  <c r="Z5"/>
  <c r="Z94" s="1"/>
  <c r="AC5"/>
  <c r="AC94" s="1"/>
  <c r="AB5"/>
  <c r="AB94" s="1"/>
  <c r="AD5"/>
  <c r="AD94" s="1"/>
  <c r="AA5"/>
  <c r="AA94" s="1"/>
  <c r="AG5"/>
  <c r="AG94" s="1"/>
  <c r="AF5"/>
  <c r="Q7"/>
  <c r="Q89"/>
  <c r="Q96" s="1"/>
  <c r="S96"/>
  <c r="E6"/>
  <c r="E5" s="1"/>
  <c r="D5"/>
  <c r="H94"/>
  <c r="J94"/>
  <c r="I94"/>
  <c r="R94"/>
  <c r="Y6"/>
  <c r="Y97" s="1"/>
  <c r="D83"/>
  <c r="AH6"/>
  <c r="AH97" s="1"/>
  <c r="G6"/>
  <c r="G5" s="1"/>
  <c r="Q31"/>
  <c r="Q13" s="1"/>
  <c r="N94"/>
  <c r="M52"/>
  <c r="F6"/>
  <c r="F5" s="1"/>
  <c r="L13"/>
  <c r="L6" s="1"/>
  <c r="L5" s="1"/>
  <c r="S91"/>
  <c r="L88"/>
  <c r="M27"/>
  <c r="M88" s="1"/>
  <c r="C82"/>
  <c r="C83" s="1"/>
  <c r="C5"/>
  <c r="T6" i="11"/>
  <c r="T5" s="1"/>
  <c r="R6"/>
  <c r="R5" s="1"/>
  <c r="Y6"/>
  <c r="Y5" s="1"/>
  <c r="AA6"/>
  <c r="AA5" s="1"/>
  <c r="R74"/>
  <c r="T74"/>
  <c r="V74"/>
  <c r="W74"/>
  <c r="X74"/>
  <c r="Y74"/>
  <c r="Z74"/>
  <c r="AA74"/>
  <c r="AB74"/>
  <c r="R75"/>
  <c r="T75"/>
  <c r="V75"/>
  <c r="W75"/>
  <c r="X75"/>
  <c r="Y75"/>
  <c r="Z75"/>
  <c r="AA75"/>
  <c r="AA81" s="1"/>
  <c r="AB75"/>
  <c r="R76"/>
  <c r="T76"/>
  <c r="V76"/>
  <c r="W76"/>
  <c r="X76"/>
  <c r="Y76"/>
  <c r="Z76"/>
  <c r="AA76"/>
  <c r="AB76"/>
  <c r="R77"/>
  <c r="T77"/>
  <c r="T81" s="1"/>
  <c r="V77"/>
  <c r="W77"/>
  <c r="Y77"/>
  <c r="Y81" s="1"/>
  <c r="AA77"/>
  <c r="R79"/>
  <c r="T79"/>
  <c r="V79"/>
  <c r="W79"/>
  <c r="Y79"/>
  <c r="Z79"/>
  <c r="AA79"/>
  <c r="AB79"/>
  <c r="Q8"/>
  <c r="X57"/>
  <c r="X47" s="1"/>
  <c r="X46" s="1"/>
  <c r="AF94" i="13" l="1"/>
  <c r="L91"/>
  <c r="L94" s="1"/>
  <c r="V6"/>
  <c r="V97" s="1"/>
  <c r="U6"/>
  <c r="T97"/>
  <c r="S97"/>
  <c r="Y5"/>
  <c r="Y94" s="1"/>
  <c r="AH5"/>
  <c r="AH94" s="1"/>
  <c r="Q6"/>
  <c r="Q5" s="1"/>
  <c r="Q97" s="1"/>
  <c r="E82"/>
  <c r="E83" s="1"/>
  <c r="S94"/>
  <c r="G82"/>
  <c r="Q91"/>
  <c r="R81" i="11"/>
  <c r="F82" i="13"/>
  <c r="Q7" i="11"/>
  <c r="V81"/>
  <c r="M13" i="13"/>
  <c r="M6" s="1"/>
  <c r="M5" s="1"/>
  <c r="M91"/>
  <c r="X13" i="11"/>
  <c r="Q10"/>
  <c r="Q70"/>
  <c r="Q69" s="1"/>
  <c r="Q67"/>
  <c r="Q68"/>
  <c r="C68"/>
  <c r="E68"/>
  <c r="F68" s="1"/>
  <c r="G68" s="1"/>
  <c r="S68"/>
  <c r="U68"/>
  <c r="Q9"/>
  <c r="X42"/>
  <c r="X24"/>
  <c r="Q41"/>
  <c r="S41"/>
  <c r="U41"/>
  <c r="Q32"/>
  <c r="S32"/>
  <c r="U32"/>
  <c r="AB24"/>
  <c r="U26"/>
  <c r="W24"/>
  <c r="Z24"/>
  <c r="Q20"/>
  <c r="S20"/>
  <c r="U20"/>
  <c r="AB29"/>
  <c r="Z29"/>
  <c r="X29"/>
  <c r="U29"/>
  <c r="S62"/>
  <c r="U62"/>
  <c r="Q62"/>
  <c r="U9"/>
  <c r="U10"/>
  <c r="U13"/>
  <c r="U14"/>
  <c r="U15"/>
  <c r="U16"/>
  <c r="U17"/>
  <c r="U18"/>
  <c r="U19"/>
  <c r="U21"/>
  <c r="U22"/>
  <c r="U23"/>
  <c r="U25"/>
  <c r="U27"/>
  <c r="U30"/>
  <c r="U31"/>
  <c r="U33"/>
  <c r="U34"/>
  <c r="U35"/>
  <c r="U36"/>
  <c r="U37"/>
  <c r="U38"/>
  <c r="U39"/>
  <c r="U40"/>
  <c r="U42"/>
  <c r="U43"/>
  <c r="U44"/>
  <c r="U45"/>
  <c r="U48"/>
  <c r="U49"/>
  <c r="U50"/>
  <c r="U51"/>
  <c r="U52"/>
  <c r="U53"/>
  <c r="U54"/>
  <c r="U55"/>
  <c r="U56"/>
  <c r="U57"/>
  <c r="U58"/>
  <c r="U59"/>
  <c r="U60"/>
  <c r="U61"/>
  <c r="U63"/>
  <c r="U64"/>
  <c r="U66"/>
  <c r="U65" s="1"/>
  <c r="U67"/>
  <c r="U71"/>
  <c r="U69" s="1"/>
  <c r="S9"/>
  <c r="S10"/>
  <c r="S13"/>
  <c r="S14"/>
  <c r="S15"/>
  <c r="S16"/>
  <c r="S17"/>
  <c r="S18"/>
  <c r="S19"/>
  <c r="S21"/>
  <c r="S22"/>
  <c r="S23"/>
  <c r="S25"/>
  <c r="S26"/>
  <c r="S27"/>
  <c r="S30"/>
  <c r="S31"/>
  <c r="S33"/>
  <c r="S34"/>
  <c r="S35"/>
  <c r="S36"/>
  <c r="S37"/>
  <c r="S38"/>
  <c r="S39"/>
  <c r="S40"/>
  <c r="S42"/>
  <c r="S43"/>
  <c r="S44"/>
  <c r="S45"/>
  <c r="S48"/>
  <c r="S49"/>
  <c r="S50"/>
  <c r="S51"/>
  <c r="S52"/>
  <c r="S53"/>
  <c r="S54"/>
  <c r="S55"/>
  <c r="S56"/>
  <c r="S57"/>
  <c r="S58"/>
  <c r="S59"/>
  <c r="S60"/>
  <c r="S61"/>
  <c r="S63"/>
  <c r="S64"/>
  <c r="S66"/>
  <c r="S65" s="1"/>
  <c r="S67"/>
  <c r="S71"/>
  <c r="S69" s="1"/>
  <c r="Q13"/>
  <c r="Q14"/>
  <c r="Q15"/>
  <c r="Q16"/>
  <c r="Q17"/>
  <c r="Q18"/>
  <c r="Q19"/>
  <c r="Q21"/>
  <c r="Q22"/>
  <c r="Q23"/>
  <c r="Q25"/>
  <c r="Q26"/>
  <c r="Q27"/>
  <c r="Q30"/>
  <c r="Q31"/>
  <c r="Q33"/>
  <c r="Q34"/>
  <c r="Q35"/>
  <c r="Q36"/>
  <c r="Q37"/>
  <c r="Q38"/>
  <c r="Q39"/>
  <c r="Q40"/>
  <c r="Q43"/>
  <c r="Q44"/>
  <c r="Q45"/>
  <c r="Q48"/>
  <c r="Q49"/>
  <c r="Q50"/>
  <c r="Q51"/>
  <c r="Q52"/>
  <c r="Q53"/>
  <c r="Q54"/>
  <c r="Q55"/>
  <c r="Q56"/>
  <c r="Q57"/>
  <c r="Q58"/>
  <c r="Q59"/>
  <c r="Q60"/>
  <c r="Q61"/>
  <c r="Q63"/>
  <c r="Q64"/>
  <c r="Q65"/>
  <c r="P79"/>
  <c r="O79"/>
  <c r="N79"/>
  <c r="K79"/>
  <c r="J79"/>
  <c r="I79"/>
  <c r="H79"/>
  <c r="P78"/>
  <c r="O78"/>
  <c r="N78"/>
  <c r="K78"/>
  <c r="J78"/>
  <c r="I78"/>
  <c r="H78"/>
  <c r="P77"/>
  <c r="O77"/>
  <c r="N77"/>
  <c r="K77"/>
  <c r="J77"/>
  <c r="I77"/>
  <c r="H77"/>
  <c r="P76"/>
  <c r="O76"/>
  <c r="N76"/>
  <c r="K76"/>
  <c r="J76"/>
  <c r="H76"/>
  <c r="P75"/>
  <c r="O75"/>
  <c r="N75"/>
  <c r="P74"/>
  <c r="O74"/>
  <c r="E71"/>
  <c r="F71" s="1"/>
  <c r="G71" s="1"/>
  <c r="C71"/>
  <c r="L67"/>
  <c r="M67" s="1"/>
  <c r="F67"/>
  <c r="G67" s="1"/>
  <c r="L66"/>
  <c r="L65"/>
  <c r="L64"/>
  <c r="M64" s="1"/>
  <c r="F64"/>
  <c r="G64" s="1"/>
  <c r="L63"/>
  <c r="M63" s="1"/>
  <c r="F63"/>
  <c r="G63" s="1"/>
  <c r="L61"/>
  <c r="L76" s="1"/>
  <c r="I61"/>
  <c r="I76" s="1"/>
  <c r="F61"/>
  <c r="G61" s="1"/>
  <c r="L60"/>
  <c r="M60" s="1"/>
  <c r="F60"/>
  <c r="G60" s="1"/>
  <c r="L59"/>
  <c r="M59" s="1"/>
  <c r="F59"/>
  <c r="G59" s="1"/>
  <c r="L58"/>
  <c r="M58" s="1"/>
  <c r="F58"/>
  <c r="G58" s="1"/>
  <c r="L57"/>
  <c r="M57" s="1"/>
  <c r="F57"/>
  <c r="G57" s="1"/>
  <c r="L56"/>
  <c r="M56" s="1"/>
  <c r="F56"/>
  <c r="G56" s="1"/>
  <c r="L55"/>
  <c r="M55" s="1"/>
  <c r="F55"/>
  <c r="G55" s="1"/>
  <c r="L52"/>
  <c r="M52" s="1"/>
  <c r="F52"/>
  <c r="G52" s="1"/>
  <c r="L51"/>
  <c r="M51" s="1"/>
  <c r="F51"/>
  <c r="G51" s="1"/>
  <c r="L50"/>
  <c r="M50" s="1"/>
  <c r="F50"/>
  <c r="G50" s="1"/>
  <c r="L49"/>
  <c r="F49"/>
  <c r="G49" s="1"/>
  <c r="L48"/>
  <c r="M48" s="1"/>
  <c r="F48"/>
  <c r="G48" s="1"/>
  <c r="N47"/>
  <c r="N46" s="1"/>
  <c r="K47"/>
  <c r="K46" s="1"/>
  <c r="K6" s="1"/>
  <c r="K5" s="1"/>
  <c r="J47"/>
  <c r="J46" s="1"/>
  <c r="I47"/>
  <c r="I46" s="1"/>
  <c r="H47"/>
  <c r="H46" s="1"/>
  <c r="E47"/>
  <c r="F47" s="1"/>
  <c r="D47"/>
  <c r="D46" s="1"/>
  <c r="C47"/>
  <c r="C46" s="1"/>
  <c r="L45"/>
  <c r="M45" s="1"/>
  <c r="L44"/>
  <c r="M44" s="1"/>
  <c r="F44"/>
  <c r="G44" s="1"/>
  <c r="L43"/>
  <c r="M43" s="1"/>
  <c r="F43"/>
  <c r="G43" s="1"/>
  <c r="L42"/>
  <c r="M42" s="1"/>
  <c r="F42"/>
  <c r="G42" s="1"/>
  <c r="L36"/>
  <c r="M36" s="1"/>
  <c r="F36"/>
  <c r="G36" s="1"/>
  <c r="L35"/>
  <c r="M35" s="1"/>
  <c r="F35"/>
  <c r="G35" s="1"/>
  <c r="L34"/>
  <c r="M34" s="1"/>
  <c r="F34"/>
  <c r="G34" s="1"/>
  <c r="L33"/>
  <c r="M33" s="1"/>
  <c r="L31"/>
  <c r="M31" s="1"/>
  <c r="F31"/>
  <c r="G31" s="1"/>
  <c r="L30"/>
  <c r="M30" s="1"/>
  <c r="F30"/>
  <c r="G30" s="1"/>
  <c r="E29"/>
  <c r="F29" s="1"/>
  <c r="C29"/>
  <c r="N28"/>
  <c r="N12" s="1"/>
  <c r="K28"/>
  <c r="J28"/>
  <c r="J12" s="1"/>
  <c r="I28"/>
  <c r="I12" s="1"/>
  <c r="H28"/>
  <c r="H12" s="1"/>
  <c r="D28"/>
  <c r="D12" s="1"/>
  <c r="C28"/>
  <c r="C12" s="1"/>
  <c r="L27"/>
  <c r="M27" s="1"/>
  <c r="F27"/>
  <c r="G27" s="1"/>
  <c r="L26"/>
  <c r="M26" s="1"/>
  <c r="F26"/>
  <c r="G26" s="1"/>
  <c r="L25"/>
  <c r="M25" s="1"/>
  <c r="F25"/>
  <c r="G25" s="1"/>
  <c r="F24"/>
  <c r="G24" s="1"/>
  <c r="L23"/>
  <c r="M23" s="1"/>
  <c r="L21"/>
  <c r="M21" s="1"/>
  <c r="L19"/>
  <c r="M19" s="1"/>
  <c r="L18"/>
  <c r="M18" s="1"/>
  <c r="L17"/>
  <c r="L16"/>
  <c r="M16" s="1"/>
  <c r="L15"/>
  <c r="M15" s="1"/>
  <c r="L14"/>
  <c r="L13"/>
  <c r="F13"/>
  <c r="G13" s="1"/>
  <c r="L10"/>
  <c r="M10" s="1"/>
  <c r="E10"/>
  <c r="F10" s="1"/>
  <c r="C10"/>
  <c r="C7" s="1"/>
  <c r="L9"/>
  <c r="M9" s="1"/>
  <c r="N7"/>
  <c r="N74" s="1"/>
  <c r="K7"/>
  <c r="K75" s="1"/>
  <c r="J7"/>
  <c r="J75" s="1"/>
  <c r="I7"/>
  <c r="I75" s="1"/>
  <c r="H7"/>
  <c r="H75" s="1"/>
  <c r="E7"/>
  <c r="D7"/>
  <c r="R11" i="10"/>
  <c r="R25"/>
  <c r="R10" s="1"/>
  <c r="V66"/>
  <c r="T67"/>
  <c r="U67"/>
  <c r="V67"/>
  <c r="W67"/>
  <c r="X67"/>
  <c r="Y67"/>
  <c r="Z67"/>
  <c r="AA67"/>
  <c r="AB67"/>
  <c r="T68"/>
  <c r="U68"/>
  <c r="V68"/>
  <c r="W68"/>
  <c r="X68"/>
  <c r="Y68"/>
  <c r="Z68"/>
  <c r="AA68"/>
  <c r="AB68"/>
  <c r="T69"/>
  <c r="U69"/>
  <c r="V69"/>
  <c r="W69"/>
  <c r="X69"/>
  <c r="Y69"/>
  <c r="Z69"/>
  <c r="AA69"/>
  <c r="AB69"/>
  <c r="T70"/>
  <c r="U70"/>
  <c r="V70"/>
  <c r="Y70"/>
  <c r="Z70"/>
  <c r="AA70"/>
  <c r="AB70"/>
  <c r="T71"/>
  <c r="U71"/>
  <c r="V71"/>
  <c r="W71"/>
  <c r="Y71"/>
  <c r="Z71"/>
  <c r="AA71"/>
  <c r="AB71"/>
  <c r="R71"/>
  <c r="R70"/>
  <c r="R69"/>
  <c r="R68"/>
  <c r="R67"/>
  <c r="R41"/>
  <c r="R42"/>
  <c r="V5" i="13" l="1"/>
  <c r="U97"/>
  <c r="U5"/>
  <c r="Q94"/>
  <c r="S47" i="11"/>
  <c r="S46" s="1"/>
  <c r="U47"/>
  <c r="U74"/>
  <c r="U7"/>
  <c r="W78"/>
  <c r="W81" s="1"/>
  <c r="W12"/>
  <c r="W6" s="1"/>
  <c r="W5" s="1"/>
  <c r="S76"/>
  <c r="S7"/>
  <c r="U46"/>
  <c r="X28"/>
  <c r="Q29"/>
  <c r="X77"/>
  <c r="U28"/>
  <c r="S29"/>
  <c r="S77" s="1"/>
  <c r="Z28"/>
  <c r="Z77"/>
  <c r="AB78"/>
  <c r="AB12"/>
  <c r="AB6" s="1"/>
  <c r="AB5" s="1"/>
  <c r="X12"/>
  <c r="X6" s="1"/>
  <c r="X5" s="1"/>
  <c r="X79"/>
  <c r="Q47"/>
  <c r="Q46" s="1"/>
  <c r="AB28"/>
  <c r="AB77"/>
  <c r="AB81" s="1"/>
  <c r="S24"/>
  <c r="S78" s="1"/>
  <c r="Z78"/>
  <c r="Z12"/>
  <c r="Z6" s="1"/>
  <c r="Z5" s="1"/>
  <c r="X78"/>
  <c r="M94" i="13"/>
  <c r="Q75" i="11"/>
  <c r="U77"/>
  <c r="S79"/>
  <c r="S75"/>
  <c r="U79"/>
  <c r="Q79"/>
  <c r="S74"/>
  <c r="U76"/>
  <c r="U75"/>
  <c r="M7"/>
  <c r="M74" s="1"/>
  <c r="L47"/>
  <c r="I81"/>
  <c r="Q74"/>
  <c r="H81"/>
  <c r="N81"/>
  <c r="K81"/>
  <c r="K84" s="1"/>
  <c r="C6"/>
  <c r="C5" s="1"/>
  <c r="Q77"/>
  <c r="Q76"/>
  <c r="N6"/>
  <c r="N5" s="1"/>
  <c r="Q42"/>
  <c r="L46"/>
  <c r="J81"/>
  <c r="U24"/>
  <c r="U78" s="1"/>
  <c r="L79"/>
  <c r="Q24"/>
  <c r="Q78" s="1"/>
  <c r="J6"/>
  <c r="J5" s="1"/>
  <c r="H6"/>
  <c r="H5" s="1"/>
  <c r="I6"/>
  <c r="I5" s="1"/>
  <c r="D6"/>
  <c r="D72" s="1"/>
  <c r="D73" s="1"/>
  <c r="L29"/>
  <c r="M29" s="1"/>
  <c r="L7"/>
  <c r="L74" s="1"/>
  <c r="M13"/>
  <c r="M49"/>
  <c r="M47" s="1"/>
  <c r="M61"/>
  <c r="M76" s="1"/>
  <c r="M75"/>
  <c r="C72"/>
  <c r="C73" s="1"/>
  <c r="G47"/>
  <c r="G46" s="1"/>
  <c r="F46"/>
  <c r="G29"/>
  <c r="G28" s="1"/>
  <c r="G12" s="1"/>
  <c r="F28"/>
  <c r="F12" s="1"/>
  <c r="G10"/>
  <c r="G7" s="1"/>
  <c r="F7"/>
  <c r="L75"/>
  <c r="M14"/>
  <c r="M17"/>
  <c r="E28"/>
  <c r="E12" s="1"/>
  <c r="L24"/>
  <c r="E46"/>
  <c r="P71" i="10"/>
  <c r="O71"/>
  <c r="N71"/>
  <c r="K71"/>
  <c r="J71"/>
  <c r="I71"/>
  <c r="H71"/>
  <c r="P70"/>
  <c r="O70"/>
  <c r="N70"/>
  <c r="K70"/>
  <c r="J70"/>
  <c r="I70"/>
  <c r="H70"/>
  <c r="P69"/>
  <c r="O69"/>
  <c r="N69"/>
  <c r="K69"/>
  <c r="J69"/>
  <c r="I69"/>
  <c r="H69"/>
  <c r="P68"/>
  <c r="O68"/>
  <c r="N68"/>
  <c r="K68"/>
  <c r="J68"/>
  <c r="H68"/>
  <c r="P67"/>
  <c r="O67"/>
  <c r="N67"/>
  <c r="P66"/>
  <c r="O66"/>
  <c r="S63"/>
  <c r="E63"/>
  <c r="F63" s="1"/>
  <c r="G63" s="1"/>
  <c r="C63"/>
  <c r="S62"/>
  <c r="E62"/>
  <c r="F62" s="1"/>
  <c r="C62"/>
  <c r="S61"/>
  <c r="Q61"/>
  <c r="L61"/>
  <c r="M61" s="1"/>
  <c r="F61"/>
  <c r="G61" s="1"/>
  <c r="S60"/>
  <c r="Q60"/>
  <c r="L60"/>
  <c r="AB59"/>
  <c r="AA59"/>
  <c r="Z59"/>
  <c r="Y59"/>
  <c r="Q59" s="1"/>
  <c r="X59"/>
  <c r="W59"/>
  <c r="S58"/>
  <c r="Q58"/>
  <c r="M58"/>
  <c r="L58"/>
  <c r="F58"/>
  <c r="G58" s="1"/>
  <c r="S57"/>
  <c r="Q57"/>
  <c r="L57"/>
  <c r="M57" s="1"/>
  <c r="F57"/>
  <c r="G57" s="1"/>
  <c r="S56"/>
  <c r="S68" s="1"/>
  <c r="Q56"/>
  <c r="Q68" s="1"/>
  <c r="L56"/>
  <c r="L68" s="1"/>
  <c r="I56"/>
  <c r="F56"/>
  <c r="G56" s="1"/>
  <c r="S55"/>
  <c r="Q55"/>
  <c r="L55"/>
  <c r="M55" s="1"/>
  <c r="F55"/>
  <c r="G55" s="1"/>
  <c r="S54"/>
  <c r="Q54"/>
  <c r="L54"/>
  <c r="M54" s="1"/>
  <c r="F54"/>
  <c r="G54" s="1"/>
  <c r="X53"/>
  <c r="X71" s="1"/>
  <c r="S53"/>
  <c r="Q53"/>
  <c r="M53"/>
  <c r="L53"/>
  <c r="F53"/>
  <c r="G53" s="1"/>
  <c r="S52"/>
  <c r="Q52"/>
  <c r="L52"/>
  <c r="M52" s="1"/>
  <c r="F52"/>
  <c r="G52" s="1"/>
  <c r="S51"/>
  <c r="Q51"/>
  <c r="L51"/>
  <c r="M51" s="1"/>
  <c r="F51"/>
  <c r="G51" s="1"/>
  <c r="S50"/>
  <c r="Q50"/>
  <c r="L50"/>
  <c r="M50" s="1"/>
  <c r="G50"/>
  <c r="F50"/>
  <c r="S47"/>
  <c r="Q47"/>
  <c r="M47"/>
  <c r="L47"/>
  <c r="F47"/>
  <c r="G47" s="1"/>
  <c r="S46"/>
  <c r="Q46"/>
  <c r="L46"/>
  <c r="M46" s="1"/>
  <c r="F46"/>
  <c r="G46" s="1"/>
  <c r="S45"/>
  <c r="Q45"/>
  <c r="L45"/>
  <c r="M45" s="1"/>
  <c r="F45"/>
  <c r="G45" s="1"/>
  <c r="S44"/>
  <c r="Q44"/>
  <c r="L44"/>
  <c r="M44" s="1"/>
  <c r="G44"/>
  <c r="F44"/>
  <c r="S43"/>
  <c r="Q43"/>
  <c r="Q42" s="1"/>
  <c r="Q41" s="1"/>
  <c r="M43"/>
  <c r="L43"/>
  <c r="F43"/>
  <c r="G43" s="1"/>
  <c r="AB42"/>
  <c r="AB41" s="1"/>
  <c r="AA42"/>
  <c r="AA41" s="1"/>
  <c r="Z42"/>
  <c r="Z41" s="1"/>
  <c r="Y42"/>
  <c r="Y41" s="1"/>
  <c r="X42"/>
  <c r="X41" s="1"/>
  <c r="W42"/>
  <c r="W41" s="1"/>
  <c r="U42"/>
  <c r="U41" s="1"/>
  <c r="T42"/>
  <c r="T41" s="1"/>
  <c r="N42"/>
  <c r="K42"/>
  <c r="K41" s="1"/>
  <c r="K6" s="1"/>
  <c r="K5" s="1"/>
  <c r="J42"/>
  <c r="I42"/>
  <c r="H42"/>
  <c r="H41" s="1"/>
  <c r="E42"/>
  <c r="F42" s="1"/>
  <c r="D42"/>
  <c r="C42"/>
  <c r="C41" s="1"/>
  <c r="N41"/>
  <c r="J41"/>
  <c r="D41"/>
  <c r="S40"/>
  <c r="Q40"/>
  <c r="L40"/>
  <c r="M40" s="1"/>
  <c r="S39"/>
  <c r="Q39"/>
  <c r="L39"/>
  <c r="M39" s="1"/>
  <c r="F39"/>
  <c r="G39" s="1"/>
  <c r="S38"/>
  <c r="Q38"/>
  <c r="L38"/>
  <c r="M38" s="1"/>
  <c r="F38"/>
  <c r="G38" s="1"/>
  <c r="S37"/>
  <c r="Q37"/>
  <c r="L37"/>
  <c r="M37" s="1"/>
  <c r="F37"/>
  <c r="G37" s="1"/>
  <c r="S32"/>
  <c r="Q32"/>
  <c r="L32"/>
  <c r="M32" s="1"/>
  <c r="F32"/>
  <c r="G32" s="1"/>
  <c r="S31"/>
  <c r="Q31"/>
  <c r="L31"/>
  <c r="M31" s="1"/>
  <c r="F31"/>
  <c r="G31" s="1"/>
  <c r="S30"/>
  <c r="Q30"/>
  <c r="L30"/>
  <c r="M30" s="1"/>
  <c r="F30"/>
  <c r="G30" s="1"/>
  <c r="S29"/>
  <c r="Q29"/>
  <c r="L29"/>
  <c r="M29" s="1"/>
  <c r="S28"/>
  <c r="Q28"/>
  <c r="L28"/>
  <c r="M28" s="1"/>
  <c r="F28"/>
  <c r="G28" s="1"/>
  <c r="S27"/>
  <c r="Q27"/>
  <c r="L27"/>
  <c r="M27" s="1"/>
  <c r="F27"/>
  <c r="G27" s="1"/>
  <c r="S26"/>
  <c r="Q26"/>
  <c r="L26"/>
  <c r="M26" s="1"/>
  <c r="E26"/>
  <c r="F26" s="1"/>
  <c r="C26"/>
  <c r="C25" s="1"/>
  <c r="C10" s="1"/>
  <c r="AB25"/>
  <c r="AB10" s="1"/>
  <c r="AA25"/>
  <c r="AA10" s="1"/>
  <c r="Z25"/>
  <c r="Y25"/>
  <c r="X25"/>
  <c r="W25"/>
  <c r="W10" s="1"/>
  <c r="U25"/>
  <c r="U10" s="1"/>
  <c r="T25"/>
  <c r="T10" s="1"/>
  <c r="N25"/>
  <c r="K25"/>
  <c r="J25"/>
  <c r="I25"/>
  <c r="I10" s="1"/>
  <c r="H25"/>
  <c r="E25"/>
  <c r="E10" s="1"/>
  <c r="D25"/>
  <c r="D10" s="1"/>
  <c r="S24"/>
  <c r="Q24"/>
  <c r="L24"/>
  <c r="M24" s="1"/>
  <c r="F24"/>
  <c r="G24" s="1"/>
  <c r="S23"/>
  <c r="Q23"/>
  <c r="L23"/>
  <c r="M23" s="1"/>
  <c r="F23"/>
  <c r="G23" s="1"/>
  <c r="S22"/>
  <c r="Q22"/>
  <c r="L22"/>
  <c r="M22" s="1"/>
  <c r="F22"/>
  <c r="G22" s="1"/>
  <c r="X21"/>
  <c r="X70" s="1"/>
  <c r="W21"/>
  <c r="S21"/>
  <c r="S70" s="1"/>
  <c r="Q21"/>
  <c r="F21"/>
  <c r="G21" s="1"/>
  <c r="S20"/>
  <c r="Q20"/>
  <c r="Q67" s="1"/>
  <c r="L20"/>
  <c r="M20" s="1"/>
  <c r="S18"/>
  <c r="Q18"/>
  <c r="L18"/>
  <c r="M18" s="1"/>
  <c r="S17"/>
  <c r="Q17"/>
  <c r="L17"/>
  <c r="M17" s="1"/>
  <c r="S16"/>
  <c r="Q16"/>
  <c r="L16"/>
  <c r="M16" s="1"/>
  <c r="S15"/>
  <c r="Q15"/>
  <c r="Q69" s="1"/>
  <c r="L15"/>
  <c r="M15" s="1"/>
  <c r="S14"/>
  <c r="Q14"/>
  <c r="L14"/>
  <c r="M14" s="1"/>
  <c r="S13"/>
  <c r="Q13"/>
  <c r="L13"/>
  <c r="M13" s="1"/>
  <c r="S12"/>
  <c r="Q12"/>
  <c r="L12"/>
  <c r="M12" s="1"/>
  <c r="S11"/>
  <c r="Q11"/>
  <c r="Q71" s="1"/>
  <c r="L11"/>
  <c r="M11" s="1"/>
  <c r="F11"/>
  <c r="G11" s="1"/>
  <c r="Z10"/>
  <c r="Y10"/>
  <c r="N10"/>
  <c r="J10"/>
  <c r="H10"/>
  <c r="S9"/>
  <c r="Q9"/>
  <c r="Q7" s="1"/>
  <c r="Q66" s="1"/>
  <c r="L9"/>
  <c r="M9" s="1"/>
  <c r="F9"/>
  <c r="E9"/>
  <c r="C9"/>
  <c r="C7" s="1"/>
  <c r="L8"/>
  <c r="M8" s="1"/>
  <c r="AB7"/>
  <c r="AB66" s="1"/>
  <c r="AA7"/>
  <c r="Z7"/>
  <c r="Y7"/>
  <c r="Y66" s="1"/>
  <c r="X7"/>
  <c r="X66" s="1"/>
  <c r="W7"/>
  <c r="W66" s="1"/>
  <c r="U7"/>
  <c r="U66" s="1"/>
  <c r="T7"/>
  <c r="T66" s="1"/>
  <c r="S7"/>
  <c r="S66" s="1"/>
  <c r="R7"/>
  <c r="R66" s="1"/>
  <c r="N7"/>
  <c r="N66" s="1"/>
  <c r="K7"/>
  <c r="K67" s="1"/>
  <c r="K73" s="1"/>
  <c r="K76" s="1"/>
  <c r="J7"/>
  <c r="J67" s="1"/>
  <c r="I7"/>
  <c r="I67" s="1"/>
  <c r="H7"/>
  <c r="F7"/>
  <c r="E7"/>
  <c r="D7"/>
  <c r="O61" i="9"/>
  <c r="P61"/>
  <c r="V61"/>
  <c r="N62"/>
  <c r="O62"/>
  <c r="P62"/>
  <c r="R62"/>
  <c r="T62"/>
  <c r="U62"/>
  <c r="V62"/>
  <c r="W62"/>
  <c r="X62"/>
  <c r="Y62"/>
  <c r="Z62"/>
  <c r="AA62"/>
  <c r="AB62"/>
  <c r="N63"/>
  <c r="O63"/>
  <c r="P63"/>
  <c r="R63"/>
  <c r="T63"/>
  <c r="U63"/>
  <c r="V63"/>
  <c r="W63"/>
  <c r="X63"/>
  <c r="Y63"/>
  <c r="Z63"/>
  <c r="AA63"/>
  <c r="AB63"/>
  <c r="N64"/>
  <c r="O64"/>
  <c r="P64"/>
  <c r="R64"/>
  <c r="T64"/>
  <c r="U64"/>
  <c r="V64"/>
  <c r="W64"/>
  <c r="X64"/>
  <c r="Y64"/>
  <c r="Z64"/>
  <c r="AA64"/>
  <c r="AB64"/>
  <c r="N65"/>
  <c r="O65"/>
  <c r="P65"/>
  <c r="R65"/>
  <c r="T65"/>
  <c r="U65"/>
  <c r="V65"/>
  <c r="Y65"/>
  <c r="Z65"/>
  <c r="AA65"/>
  <c r="AB65"/>
  <c r="N66"/>
  <c r="O66"/>
  <c r="P66"/>
  <c r="R66"/>
  <c r="T66"/>
  <c r="U66"/>
  <c r="V66"/>
  <c r="W66"/>
  <c r="Y66"/>
  <c r="Z66"/>
  <c r="AA66"/>
  <c r="AB66"/>
  <c r="V94" i="13" l="1"/>
  <c r="U94"/>
  <c r="AA6" i="10"/>
  <c r="AA5" s="1"/>
  <c r="H6"/>
  <c r="H5" s="1"/>
  <c r="N73"/>
  <c r="Z73"/>
  <c r="Z76" s="1"/>
  <c r="Z66"/>
  <c r="S71"/>
  <c r="S69"/>
  <c r="S67"/>
  <c r="S73" s="1"/>
  <c r="L21"/>
  <c r="M21" s="1"/>
  <c r="W70"/>
  <c r="G62"/>
  <c r="Q28" i="11"/>
  <c r="Q12" s="1"/>
  <c r="Q6" s="1"/>
  <c r="Q5" s="1"/>
  <c r="U81"/>
  <c r="Z81"/>
  <c r="S28"/>
  <c r="S12" s="1"/>
  <c r="S6" s="1"/>
  <c r="S5" s="1"/>
  <c r="AA73" i="10"/>
  <c r="AA76" s="1"/>
  <c r="AA66"/>
  <c r="S25"/>
  <c r="U12" i="11"/>
  <c r="U6" s="1"/>
  <c r="U5" s="1"/>
  <c r="X81"/>
  <c r="X84" s="1"/>
  <c r="M42" i="10"/>
  <c r="J73"/>
  <c r="Q70"/>
  <c r="Q73" s="1"/>
  <c r="Q25"/>
  <c r="Q10" s="1"/>
  <c r="Q6" s="1"/>
  <c r="Q5" s="1"/>
  <c r="L42"/>
  <c r="H84" i="11"/>
  <c r="Y82"/>
  <c r="S81"/>
  <c r="Q81"/>
  <c r="I84"/>
  <c r="M46"/>
  <c r="N84"/>
  <c r="X82"/>
  <c r="W82"/>
  <c r="J84"/>
  <c r="AA84"/>
  <c r="D5"/>
  <c r="T84"/>
  <c r="M77"/>
  <c r="L77"/>
  <c r="L28"/>
  <c r="M28" s="1"/>
  <c r="Y84"/>
  <c r="AA82"/>
  <c r="R84"/>
  <c r="Z82"/>
  <c r="M79"/>
  <c r="M24"/>
  <c r="M78" s="1"/>
  <c r="L78"/>
  <c r="F6"/>
  <c r="E6"/>
  <c r="G6"/>
  <c r="M70" i="10"/>
  <c r="R73"/>
  <c r="U73"/>
  <c r="G9"/>
  <c r="G7" s="1"/>
  <c r="X10"/>
  <c r="E41"/>
  <c r="E6" s="1"/>
  <c r="M56"/>
  <c r="M68" s="1"/>
  <c r="L59"/>
  <c r="S59"/>
  <c r="D6"/>
  <c r="W73"/>
  <c r="W76" s="1"/>
  <c r="M69"/>
  <c r="L25"/>
  <c r="M25" s="1"/>
  <c r="M10" s="1"/>
  <c r="S42"/>
  <c r="S41" s="1"/>
  <c r="I41"/>
  <c r="M7"/>
  <c r="M66" s="1"/>
  <c r="Y73"/>
  <c r="S10"/>
  <c r="S6" s="1"/>
  <c r="S5" s="1"/>
  <c r="V76"/>
  <c r="X73"/>
  <c r="X76" s="1"/>
  <c r="AB73"/>
  <c r="AB76" s="1"/>
  <c r="T6"/>
  <c r="T5" s="1"/>
  <c r="T73"/>
  <c r="R6"/>
  <c r="R5" s="1"/>
  <c r="L7"/>
  <c r="L66" s="1"/>
  <c r="W6"/>
  <c r="W5" s="1"/>
  <c r="J6"/>
  <c r="J5" s="1"/>
  <c r="J76" s="1"/>
  <c r="I6"/>
  <c r="I5" s="1"/>
  <c r="X6"/>
  <c r="X5" s="1"/>
  <c r="AB6"/>
  <c r="AB5" s="1"/>
  <c r="Y6"/>
  <c r="Y5" s="1"/>
  <c r="N6"/>
  <c r="N5" s="1"/>
  <c r="N76" s="1"/>
  <c r="U6"/>
  <c r="U5" s="1"/>
  <c r="Z6"/>
  <c r="Z5" s="1"/>
  <c r="G26"/>
  <c r="G25" s="1"/>
  <c r="G10" s="1"/>
  <c r="F25"/>
  <c r="F10" s="1"/>
  <c r="G42"/>
  <c r="G41" s="1"/>
  <c r="F41"/>
  <c r="AA74"/>
  <c r="M67"/>
  <c r="D64"/>
  <c r="D65" s="1"/>
  <c r="D5"/>
  <c r="M71"/>
  <c r="C6"/>
  <c r="L41"/>
  <c r="H67"/>
  <c r="H73" s="1"/>
  <c r="H76" s="1"/>
  <c r="L67"/>
  <c r="L71"/>
  <c r="I68"/>
  <c r="I73" s="1"/>
  <c r="L69"/>
  <c r="L70"/>
  <c r="R36" i="9"/>
  <c r="R37"/>
  <c r="T37"/>
  <c r="T36" s="1"/>
  <c r="T6" s="1"/>
  <c r="T5" s="1"/>
  <c r="U37"/>
  <c r="U36" s="1"/>
  <c r="R24"/>
  <c r="R10" s="1"/>
  <c r="T24"/>
  <c r="U24"/>
  <c r="U10" s="1"/>
  <c r="Q22"/>
  <c r="T10"/>
  <c r="R7"/>
  <c r="R61" s="1"/>
  <c r="R68" s="1"/>
  <c r="T7"/>
  <c r="T61" s="1"/>
  <c r="T68" s="1"/>
  <c r="U7"/>
  <c r="U61" s="1"/>
  <c r="U68" s="1"/>
  <c r="X48"/>
  <c r="X66" s="1"/>
  <c r="W20"/>
  <c r="L21"/>
  <c r="L22"/>
  <c r="L16"/>
  <c r="W24"/>
  <c r="V68"/>
  <c r="Q20"/>
  <c r="X54"/>
  <c r="Y54"/>
  <c r="Q54" s="1"/>
  <c r="Z54"/>
  <c r="AA54"/>
  <c r="AB54"/>
  <c r="W54"/>
  <c r="S53"/>
  <c r="S55"/>
  <c r="S56"/>
  <c r="S57"/>
  <c r="S58"/>
  <c r="Q53"/>
  <c r="Q55"/>
  <c r="L53"/>
  <c r="L55"/>
  <c r="L17"/>
  <c r="M17" s="1"/>
  <c r="Q17"/>
  <c r="S17"/>
  <c r="Q25"/>
  <c r="S38"/>
  <c r="X20"/>
  <c r="X65" s="1"/>
  <c r="L8"/>
  <c r="X7"/>
  <c r="X61" s="1"/>
  <c r="E64" i="10" l="1"/>
  <c r="E65" s="1"/>
  <c r="E5"/>
  <c r="S76"/>
  <c r="Q76"/>
  <c r="Y76"/>
  <c r="Z74"/>
  <c r="L10"/>
  <c r="L6" s="1"/>
  <c r="L5" s="1"/>
  <c r="W10" i="9"/>
  <c r="W65"/>
  <c r="R6"/>
  <c r="R5" s="1"/>
  <c r="M73" i="10"/>
  <c r="F6"/>
  <c r="AB84" i="11"/>
  <c r="Q84"/>
  <c r="W84"/>
  <c r="U84"/>
  <c r="S84"/>
  <c r="L81"/>
  <c r="M81"/>
  <c r="L12"/>
  <c r="L6" s="1"/>
  <c r="L5" s="1"/>
  <c r="Z84"/>
  <c r="M12"/>
  <c r="M6" s="1"/>
  <c r="M5" s="1"/>
  <c r="E72"/>
  <c r="E73" s="1"/>
  <c r="E5"/>
  <c r="G5"/>
  <c r="G72"/>
  <c r="F5"/>
  <c r="F72"/>
  <c r="T76" i="10"/>
  <c r="U76"/>
  <c r="R76"/>
  <c r="W74"/>
  <c r="Y74"/>
  <c r="AB74"/>
  <c r="M41"/>
  <c r="M6"/>
  <c r="M5" s="1"/>
  <c r="X74"/>
  <c r="I76"/>
  <c r="L73"/>
  <c r="F64"/>
  <c r="F5"/>
  <c r="C64"/>
  <c r="C65" s="1"/>
  <c r="C5"/>
  <c r="G6"/>
  <c r="U6" i="9"/>
  <c r="U5" s="1"/>
  <c r="L20"/>
  <c r="S54"/>
  <c r="L54"/>
  <c r="X68"/>
  <c r="M76" i="10" l="1"/>
  <c r="AB82" i="11"/>
  <c r="M84"/>
  <c r="L84"/>
  <c r="L76" i="10"/>
  <c r="G64"/>
  <c r="G5"/>
  <c r="K66" i="9"/>
  <c r="J66"/>
  <c r="I66"/>
  <c r="H66"/>
  <c r="K65"/>
  <c r="J65"/>
  <c r="I65"/>
  <c r="H65"/>
  <c r="K64"/>
  <c r="J64"/>
  <c r="I64"/>
  <c r="H64"/>
  <c r="K63"/>
  <c r="J63"/>
  <c r="H63"/>
  <c r="E58"/>
  <c r="F58" s="1"/>
  <c r="C58"/>
  <c r="E57"/>
  <c r="F57" s="1"/>
  <c r="C57"/>
  <c r="Q56"/>
  <c r="L56"/>
  <c r="M56" s="1"/>
  <c r="F56"/>
  <c r="G56" s="1"/>
  <c r="M53"/>
  <c r="F53"/>
  <c r="G53" s="1"/>
  <c r="S52"/>
  <c r="Q52"/>
  <c r="L52"/>
  <c r="F52"/>
  <c r="G52" s="1"/>
  <c r="S51"/>
  <c r="S63" s="1"/>
  <c r="Q51"/>
  <c r="Q63" s="1"/>
  <c r="L51"/>
  <c r="L63" s="1"/>
  <c r="I51"/>
  <c r="I63" s="1"/>
  <c r="F51"/>
  <c r="G51" s="1"/>
  <c r="S50"/>
  <c r="Q50"/>
  <c r="L50"/>
  <c r="M50" s="1"/>
  <c r="F50"/>
  <c r="G50" s="1"/>
  <c r="S49"/>
  <c r="Q49"/>
  <c r="L49"/>
  <c r="M49" s="1"/>
  <c r="F49"/>
  <c r="G49" s="1"/>
  <c r="S48"/>
  <c r="Q48"/>
  <c r="L48"/>
  <c r="F48"/>
  <c r="G48" s="1"/>
  <c r="S47"/>
  <c r="Q47"/>
  <c r="L47"/>
  <c r="F47"/>
  <c r="G47" s="1"/>
  <c r="S46"/>
  <c r="Q46"/>
  <c r="L46"/>
  <c r="M46" s="1"/>
  <c r="F46"/>
  <c r="G46" s="1"/>
  <c r="S45"/>
  <c r="Q45"/>
  <c r="L45"/>
  <c r="M45" s="1"/>
  <c r="F45"/>
  <c r="G45" s="1"/>
  <c r="S42"/>
  <c r="Q42"/>
  <c r="L42"/>
  <c r="M42" s="1"/>
  <c r="F42"/>
  <c r="G42" s="1"/>
  <c r="S41"/>
  <c r="Q41"/>
  <c r="L41"/>
  <c r="M41" s="1"/>
  <c r="F41"/>
  <c r="G41" s="1"/>
  <c r="S40"/>
  <c r="Q40"/>
  <c r="L40"/>
  <c r="M40" s="1"/>
  <c r="F40"/>
  <c r="G40" s="1"/>
  <c r="S39"/>
  <c r="S37" s="1"/>
  <c r="Q39"/>
  <c r="L39"/>
  <c r="F39"/>
  <c r="G39" s="1"/>
  <c r="Q38"/>
  <c r="L38"/>
  <c r="F38"/>
  <c r="G38" s="1"/>
  <c r="AB37"/>
  <c r="AB36" s="1"/>
  <c r="AA37"/>
  <c r="AA36" s="1"/>
  <c r="Z37"/>
  <c r="Z36" s="1"/>
  <c r="Y37"/>
  <c r="Y36" s="1"/>
  <c r="X37"/>
  <c r="X36" s="1"/>
  <c r="W37"/>
  <c r="W36" s="1"/>
  <c r="N37"/>
  <c r="N36" s="1"/>
  <c r="K37"/>
  <c r="K36" s="1"/>
  <c r="K6" s="1"/>
  <c r="K5" s="1"/>
  <c r="J37"/>
  <c r="J36" s="1"/>
  <c r="I37"/>
  <c r="H37"/>
  <c r="H36" s="1"/>
  <c r="E37"/>
  <c r="F37" s="1"/>
  <c r="D37"/>
  <c r="D36" s="1"/>
  <c r="C37"/>
  <c r="C36" s="1"/>
  <c r="S35"/>
  <c r="Q35"/>
  <c r="L35"/>
  <c r="M35" s="1"/>
  <c r="S34"/>
  <c r="Q34"/>
  <c r="L34"/>
  <c r="M34" s="1"/>
  <c r="F34"/>
  <c r="G34" s="1"/>
  <c r="S33"/>
  <c r="Q33"/>
  <c r="L33"/>
  <c r="M33" s="1"/>
  <c r="F33"/>
  <c r="G33" s="1"/>
  <c r="S32"/>
  <c r="Q32"/>
  <c r="L32"/>
  <c r="L65" s="1"/>
  <c r="F32"/>
  <c r="G32" s="1"/>
  <c r="S31"/>
  <c r="Q31"/>
  <c r="L31"/>
  <c r="M31" s="1"/>
  <c r="F31"/>
  <c r="G31" s="1"/>
  <c r="S30"/>
  <c r="Q30"/>
  <c r="L30"/>
  <c r="M30" s="1"/>
  <c r="F30"/>
  <c r="G30" s="1"/>
  <c r="S29"/>
  <c r="Q29"/>
  <c r="L29"/>
  <c r="M29" s="1"/>
  <c r="F29"/>
  <c r="G29" s="1"/>
  <c r="S28"/>
  <c r="Q28"/>
  <c r="L28"/>
  <c r="M28" s="1"/>
  <c r="S27"/>
  <c r="Q27"/>
  <c r="L27"/>
  <c r="M27" s="1"/>
  <c r="F27"/>
  <c r="G27" s="1"/>
  <c r="S26"/>
  <c r="Q26"/>
  <c r="L26"/>
  <c r="M26" s="1"/>
  <c r="F26"/>
  <c r="G26" s="1"/>
  <c r="X24"/>
  <c r="S25"/>
  <c r="L25"/>
  <c r="M25" s="1"/>
  <c r="E25"/>
  <c r="F25" s="1"/>
  <c r="C25"/>
  <c r="C24" s="1"/>
  <c r="C10" s="1"/>
  <c r="AB24"/>
  <c r="AB10" s="1"/>
  <c r="AA24"/>
  <c r="AA10" s="1"/>
  <c r="Z24"/>
  <c r="Z10" s="1"/>
  <c r="Y24"/>
  <c r="Y10" s="1"/>
  <c r="N24"/>
  <c r="N10" s="1"/>
  <c r="K24"/>
  <c r="J24"/>
  <c r="J10" s="1"/>
  <c r="I24"/>
  <c r="I10" s="1"/>
  <c r="H24"/>
  <c r="H10" s="1"/>
  <c r="D24"/>
  <c r="D10" s="1"/>
  <c r="S23"/>
  <c r="Q23"/>
  <c r="L23"/>
  <c r="M23" s="1"/>
  <c r="F23"/>
  <c r="G23" s="1"/>
  <c r="S22"/>
  <c r="M22"/>
  <c r="F22"/>
  <c r="G22" s="1"/>
  <c r="S21"/>
  <c r="Q21"/>
  <c r="F21"/>
  <c r="G21" s="1"/>
  <c r="M20"/>
  <c r="F20"/>
  <c r="G20" s="1"/>
  <c r="S19"/>
  <c r="Q19"/>
  <c r="L19"/>
  <c r="L62" s="1"/>
  <c r="S18"/>
  <c r="Q18"/>
  <c r="L18"/>
  <c r="M18" s="1"/>
  <c r="S16"/>
  <c r="Q16"/>
  <c r="S15"/>
  <c r="Q15"/>
  <c r="Q64" s="1"/>
  <c r="L15"/>
  <c r="S14"/>
  <c r="Q14"/>
  <c r="L14"/>
  <c r="M14" s="1"/>
  <c r="S13"/>
  <c r="Q13"/>
  <c r="L13"/>
  <c r="M13" s="1"/>
  <c r="S12"/>
  <c r="Q12"/>
  <c r="L12"/>
  <c r="M12" s="1"/>
  <c r="S11"/>
  <c r="Q11"/>
  <c r="Q66" s="1"/>
  <c r="L11"/>
  <c r="L66" s="1"/>
  <c r="F11"/>
  <c r="G11" s="1"/>
  <c r="S9"/>
  <c r="S7" s="1"/>
  <c r="S61" s="1"/>
  <c r="Q9"/>
  <c r="Q7" s="1"/>
  <c r="Q61" s="1"/>
  <c r="L9"/>
  <c r="M9" s="1"/>
  <c r="E9"/>
  <c r="E7" s="1"/>
  <c r="C9"/>
  <c r="C7" s="1"/>
  <c r="M8"/>
  <c r="AB7"/>
  <c r="AB61" s="1"/>
  <c r="AB68" s="1"/>
  <c r="AA7"/>
  <c r="AA61" s="1"/>
  <c r="AA68" s="1"/>
  <c r="Z7"/>
  <c r="Z61" s="1"/>
  <c r="Z68" s="1"/>
  <c r="Y7"/>
  <c r="Y61" s="1"/>
  <c r="Y68" s="1"/>
  <c r="W7"/>
  <c r="W61" s="1"/>
  <c r="W68" s="1"/>
  <c r="N7"/>
  <c r="N61" s="1"/>
  <c r="N68" s="1"/>
  <c r="K7"/>
  <c r="K62" s="1"/>
  <c r="J7"/>
  <c r="J62" s="1"/>
  <c r="I7"/>
  <c r="I62" s="1"/>
  <c r="H7"/>
  <c r="H62" s="1"/>
  <c r="D7"/>
  <c r="S62" l="1"/>
  <c r="L64"/>
  <c r="S24"/>
  <c r="Q24"/>
  <c r="Q65"/>
  <c r="S36"/>
  <c r="W6"/>
  <c r="S66"/>
  <c r="S64"/>
  <c r="Q62"/>
  <c r="Z6"/>
  <c r="F36"/>
  <c r="N6"/>
  <c r="N5" s="1"/>
  <c r="N71" s="1"/>
  <c r="M11"/>
  <c r="E24"/>
  <c r="E10" s="1"/>
  <c r="M48"/>
  <c r="X10"/>
  <c r="X6" s="1"/>
  <c r="X5" s="1"/>
  <c r="X69" s="1"/>
  <c r="AA6"/>
  <c r="AB6"/>
  <c r="AB5" s="1"/>
  <c r="AB69" s="1"/>
  <c r="Y6"/>
  <c r="Y5" s="1"/>
  <c r="Y69" s="1"/>
  <c r="M21"/>
  <c r="M62" s="1"/>
  <c r="M15"/>
  <c r="M16"/>
  <c r="M19"/>
  <c r="M52"/>
  <c r="M65" s="1"/>
  <c r="M47"/>
  <c r="M38"/>
  <c r="M32"/>
  <c r="G57"/>
  <c r="G58"/>
  <c r="E36"/>
  <c r="E6" s="1"/>
  <c r="F9"/>
  <c r="G9" s="1"/>
  <c r="G7" s="1"/>
  <c r="I36"/>
  <c r="I6" s="1"/>
  <c r="I5" s="1"/>
  <c r="L7"/>
  <c r="L61" s="1"/>
  <c r="L68" s="1"/>
  <c r="H68"/>
  <c r="K68"/>
  <c r="K71" s="1"/>
  <c r="J6"/>
  <c r="J5" s="1"/>
  <c r="J68"/>
  <c r="D6"/>
  <c r="D59" s="1"/>
  <c r="I68"/>
  <c r="H6"/>
  <c r="H5" s="1"/>
  <c r="Q37"/>
  <c r="Q36" s="1"/>
  <c r="Z5"/>
  <c r="Z69" s="1"/>
  <c r="W5"/>
  <c r="L37"/>
  <c r="L36" s="1"/>
  <c r="M39"/>
  <c r="Q10"/>
  <c r="L24"/>
  <c r="M7"/>
  <c r="M61" s="1"/>
  <c r="C6"/>
  <c r="F24"/>
  <c r="F10" s="1"/>
  <c r="G25"/>
  <c r="G24" s="1"/>
  <c r="G10" s="1"/>
  <c r="G37"/>
  <c r="G36" s="1"/>
  <c r="S20"/>
  <c r="S65" s="1"/>
  <c r="M51"/>
  <c r="M63" s="1"/>
  <c r="M66" l="1"/>
  <c r="S10"/>
  <c r="M64"/>
  <c r="Q6"/>
  <c r="Q5" s="1"/>
  <c r="M24"/>
  <c r="M10" s="1"/>
  <c r="L10"/>
  <c r="S68"/>
  <c r="W69"/>
  <c r="W71"/>
  <c r="Q68"/>
  <c r="M37"/>
  <c r="M36" s="1"/>
  <c r="H71"/>
  <c r="D5"/>
  <c r="E59"/>
  <c r="E60" s="1"/>
  <c r="E5"/>
  <c r="F7"/>
  <c r="F6" s="1"/>
  <c r="F5" s="1"/>
  <c r="D60"/>
  <c r="J71"/>
  <c r="I71"/>
  <c r="AB71"/>
  <c r="Z71"/>
  <c r="AA5"/>
  <c r="Y71"/>
  <c r="C59"/>
  <c r="C60" s="1"/>
  <c r="C5"/>
  <c r="G6"/>
  <c r="L6" l="1"/>
  <c r="L5" s="1"/>
  <c r="L71" s="1"/>
  <c r="M6"/>
  <c r="M5" s="1"/>
  <c r="M68"/>
  <c r="S6"/>
  <c r="S5" s="1"/>
  <c r="S71" s="1"/>
  <c r="Q71"/>
  <c r="AA71"/>
  <c r="AA69"/>
  <c r="F59"/>
  <c r="X71"/>
  <c r="G59"/>
  <c r="G5"/>
  <c r="M71" l="1"/>
  <c r="H48" i="7"/>
  <c r="P35"/>
  <c r="J53"/>
  <c r="J54"/>
  <c r="J51"/>
  <c r="H19"/>
  <c r="I19"/>
  <c r="P19"/>
  <c r="Q19"/>
  <c r="I23"/>
  <c r="I22" s="1"/>
  <c r="J16"/>
  <c r="H23"/>
  <c r="H22" s="1"/>
  <c r="H10" s="1"/>
  <c r="Q23"/>
  <c r="H59"/>
  <c r="I10" l="1"/>
  <c r="Q9"/>
  <c r="Q7" s="1"/>
  <c r="Q58" s="1"/>
  <c r="H9"/>
  <c r="J32"/>
  <c r="P48"/>
  <c r="P34" s="1"/>
  <c r="Q48"/>
  <c r="I35"/>
  <c r="I34" s="1"/>
  <c r="I7"/>
  <c r="J30"/>
  <c r="J31"/>
  <c r="Q18"/>
  <c r="Q61" s="1"/>
  <c r="B60"/>
  <c r="O58"/>
  <c r="O64" s="1"/>
  <c r="O67" s="1"/>
  <c r="O59"/>
  <c r="P59"/>
  <c r="R59"/>
  <c r="S59"/>
  <c r="T59"/>
  <c r="U59"/>
  <c r="K60"/>
  <c r="M60"/>
  <c r="O60"/>
  <c r="P60"/>
  <c r="Q60"/>
  <c r="R60"/>
  <c r="S60"/>
  <c r="T60"/>
  <c r="U60"/>
  <c r="K61"/>
  <c r="M61"/>
  <c r="O61"/>
  <c r="P61"/>
  <c r="R61"/>
  <c r="S61"/>
  <c r="T61"/>
  <c r="U61"/>
  <c r="K62"/>
  <c r="M62"/>
  <c r="O62"/>
  <c r="P62"/>
  <c r="Q62"/>
  <c r="R62"/>
  <c r="S62"/>
  <c r="T62"/>
  <c r="U62"/>
  <c r="N18"/>
  <c r="L18"/>
  <c r="N24"/>
  <c r="L24"/>
  <c r="J24"/>
  <c r="M35"/>
  <c r="K35"/>
  <c r="N8"/>
  <c r="N9"/>
  <c r="N11"/>
  <c r="N12"/>
  <c r="N13"/>
  <c r="N14"/>
  <c r="N15"/>
  <c r="N17"/>
  <c r="N20"/>
  <c r="N21"/>
  <c r="N23"/>
  <c r="N25"/>
  <c r="N26"/>
  <c r="N27"/>
  <c r="N28"/>
  <c r="N29"/>
  <c r="N30"/>
  <c r="N31"/>
  <c r="N32"/>
  <c r="N33"/>
  <c r="N37"/>
  <c r="N38"/>
  <c r="N39"/>
  <c r="N40"/>
  <c r="N41"/>
  <c r="N42"/>
  <c r="N43"/>
  <c r="N44"/>
  <c r="N45"/>
  <c r="N46"/>
  <c r="N47"/>
  <c r="N48"/>
  <c r="N59" s="1"/>
  <c r="N49"/>
  <c r="N50"/>
  <c r="N52"/>
  <c r="N53"/>
  <c r="N54"/>
  <c r="N55"/>
  <c r="N56"/>
  <c r="L20"/>
  <c r="L21"/>
  <c r="L23"/>
  <c r="L25"/>
  <c r="L26"/>
  <c r="L27"/>
  <c r="L28"/>
  <c r="L29"/>
  <c r="L30"/>
  <c r="L31"/>
  <c r="L32"/>
  <c r="L33"/>
  <c r="L37"/>
  <c r="L38"/>
  <c r="L39"/>
  <c r="L40"/>
  <c r="L41"/>
  <c r="L42"/>
  <c r="L43"/>
  <c r="L44"/>
  <c r="L45"/>
  <c r="L46"/>
  <c r="L47"/>
  <c r="L48"/>
  <c r="L59" s="1"/>
  <c r="L49"/>
  <c r="L50"/>
  <c r="L52"/>
  <c r="L8"/>
  <c r="L9"/>
  <c r="L11"/>
  <c r="L12"/>
  <c r="L13"/>
  <c r="L14"/>
  <c r="L15"/>
  <c r="L17"/>
  <c r="J20"/>
  <c r="J21"/>
  <c r="J23"/>
  <c r="J25"/>
  <c r="J26"/>
  <c r="J27"/>
  <c r="J28"/>
  <c r="J29"/>
  <c r="J33"/>
  <c r="J37"/>
  <c r="J38"/>
  <c r="J39"/>
  <c r="J40"/>
  <c r="J41"/>
  <c r="J42"/>
  <c r="J43"/>
  <c r="J44"/>
  <c r="J45"/>
  <c r="J46"/>
  <c r="J47"/>
  <c r="J49"/>
  <c r="J50"/>
  <c r="J52"/>
  <c r="J12"/>
  <c r="J13"/>
  <c r="J14"/>
  <c r="J15"/>
  <c r="J17"/>
  <c r="J8"/>
  <c r="J11"/>
  <c r="N19"/>
  <c r="L19"/>
  <c r="J19"/>
  <c r="K7"/>
  <c r="K58" s="1"/>
  <c r="M7"/>
  <c r="M58" s="1"/>
  <c r="K22"/>
  <c r="K10" s="1"/>
  <c r="M22"/>
  <c r="M10" s="1"/>
  <c r="K48"/>
  <c r="K59" s="1"/>
  <c r="M48"/>
  <c r="M59" s="1"/>
  <c r="H62"/>
  <c r="H61"/>
  <c r="H60"/>
  <c r="E54"/>
  <c r="F54" s="1"/>
  <c r="C54"/>
  <c r="E53"/>
  <c r="F53" s="1"/>
  <c r="C53"/>
  <c r="F52"/>
  <c r="G52" s="1"/>
  <c r="F50"/>
  <c r="G50" s="1"/>
  <c r="F49"/>
  <c r="G49" s="1"/>
  <c r="F48"/>
  <c r="G48" s="1"/>
  <c r="F47"/>
  <c r="G47" s="1"/>
  <c r="F46"/>
  <c r="G46" s="1"/>
  <c r="F45"/>
  <c r="G45" s="1"/>
  <c r="F44"/>
  <c r="G44" s="1"/>
  <c r="F43"/>
  <c r="G43" s="1"/>
  <c r="F42"/>
  <c r="G42" s="1"/>
  <c r="F41"/>
  <c r="G41" s="1"/>
  <c r="F40"/>
  <c r="G40" s="1"/>
  <c r="F39"/>
  <c r="G39" s="1"/>
  <c r="F38"/>
  <c r="G38" s="1"/>
  <c r="F37"/>
  <c r="G37" s="1"/>
  <c r="F36"/>
  <c r="G36" s="1"/>
  <c r="U35"/>
  <c r="U34" s="1"/>
  <c r="T35"/>
  <c r="T34" s="1"/>
  <c r="S35"/>
  <c r="S34" s="1"/>
  <c r="R35"/>
  <c r="R34" s="1"/>
  <c r="Q35"/>
  <c r="H35"/>
  <c r="H34" s="1"/>
  <c r="E35"/>
  <c r="E34" s="1"/>
  <c r="D35"/>
  <c r="D34" s="1"/>
  <c r="C35"/>
  <c r="C34" s="1"/>
  <c r="F32"/>
  <c r="G32" s="1"/>
  <c r="F31"/>
  <c r="G31" s="1"/>
  <c r="F30"/>
  <c r="G30" s="1"/>
  <c r="F29"/>
  <c r="G29" s="1"/>
  <c r="F28"/>
  <c r="G28" s="1"/>
  <c r="F27"/>
  <c r="G27" s="1"/>
  <c r="F25"/>
  <c r="G25" s="1"/>
  <c r="F24"/>
  <c r="G24" s="1"/>
  <c r="E23"/>
  <c r="F23" s="1"/>
  <c r="C23"/>
  <c r="C22" s="1"/>
  <c r="C10" s="1"/>
  <c r="U22"/>
  <c r="U10" s="1"/>
  <c r="T22"/>
  <c r="T10" s="1"/>
  <c r="S22"/>
  <c r="S10" s="1"/>
  <c r="R22"/>
  <c r="R10" s="1"/>
  <c r="Q22"/>
  <c r="P22"/>
  <c r="P10" s="1"/>
  <c r="D22"/>
  <c r="D10" s="1"/>
  <c r="F21"/>
  <c r="G21" s="1"/>
  <c r="F20"/>
  <c r="G20" s="1"/>
  <c r="F19"/>
  <c r="G19" s="1"/>
  <c r="F18"/>
  <c r="G18" s="1"/>
  <c r="F11"/>
  <c r="G11" s="1"/>
  <c r="E9"/>
  <c r="F9" s="1"/>
  <c r="C9"/>
  <c r="C7" s="1"/>
  <c r="U7"/>
  <c r="U58" s="1"/>
  <c r="T7"/>
  <c r="T58" s="1"/>
  <c r="S7"/>
  <c r="S58" s="1"/>
  <c r="R7"/>
  <c r="R58" s="1"/>
  <c r="P7"/>
  <c r="P58" s="1"/>
  <c r="D7"/>
  <c r="T6" l="1"/>
  <c r="T5" s="1"/>
  <c r="U6"/>
  <c r="U5" s="1"/>
  <c r="L61"/>
  <c r="N7"/>
  <c r="H7"/>
  <c r="H58" s="1"/>
  <c r="H64" s="1"/>
  <c r="P6"/>
  <c r="P5" s="1"/>
  <c r="I6"/>
  <c r="I5" s="1"/>
  <c r="M64"/>
  <c r="N60"/>
  <c r="N61"/>
  <c r="U64"/>
  <c r="S6"/>
  <c r="S5" s="1"/>
  <c r="M34"/>
  <c r="M6" s="1"/>
  <c r="M5" s="1"/>
  <c r="M67" s="1"/>
  <c r="R6"/>
  <c r="R5" s="1"/>
  <c r="J9"/>
  <c r="N58"/>
  <c r="J48"/>
  <c r="J59" s="1"/>
  <c r="J62"/>
  <c r="L62"/>
  <c r="N62"/>
  <c r="K34"/>
  <c r="K6" s="1"/>
  <c r="K5" s="1"/>
  <c r="K67" s="1"/>
  <c r="K64"/>
  <c r="T64"/>
  <c r="L7"/>
  <c r="L58" s="1"/>
  <c r="L60"/>
  <c r="R64"/>
  <c r="S64"/>
  <c r="J60"/>
  <c r="P64"/>
  <c r="P67" s="1"/>
  <c r="J18"/>
  <c r="J61" s="1"/>
  <c r="Q10"/>
  <c r="Q59"/>
  <c r="Q64" s="1"/>
  <c r="Q34"/>
  <c r="N35"/>
  <c r="N34" s="1"/>
  <c r="L35"/>
  <c r="L34" s="1"/>
  <c r="J35"/>
  <c r="J7"/>
  <c r="J58" s="1"/>
  <c r="N10"/>
  <c r="L10"/>
  <c r="J22"/>
  <c r="N22"/>
  <c r="L22"/>
  <c r="E7"/>
  <c r="F35"/>
  <c r="F34" s="1"/>
  <c r="G53"/>
  <c r="D6"/>
  <c r="D5" s="1"/>
  <c r="C6"/>
  <c r="C5" s="1"/>
  <c r="E22"/>
  <c r="E10" s="1"/>
  <c r="G54"/>
  <c r="F22"/>
  <c r="F10" s="1"/>
  <c r="G23"/>
  <c r="G22" s="1"/>
  <c r="G10" s="1"/>
  <c r="F7"/>
  <c r="G9"/>
  <c r="G7" s="1"/>
  <c r="U67"/>
  <c r="J34" l="1"/>
  <c r="N64"/>
  <c r="Q6"/>
  <c r="Q5" s="1"/>
  <c r="T67"/>
  <c r="H6"/>
  <c r="H5" s="1"/>
  <c r="H67" s="1"/>
  <c r="J10"/>
  <c r="S67"/>
  <c r="L64"/>
  <c r="R67"/>
  <c r="J64"/>
  <c r="N6"/>
  <c r="N5" s="1"/>
  <c r="N67" s="1"/>
  <c r="L6"/>
  <c r="L5" s="1"/>
  <c r="E6"/>
  <c r="E5" s="1"/>
  <c r="G35"/>
  <c r="G34" s="1"/>
  <c r="G6" s="1"/>
  <c r="F6"/>
  <c r="F5" s="1"/>
  <c r="C55"/>
  <c r="C56" s="1"/>
  <c r="D55"/>
  <c r="D56" s="1"/>
  <c r="J6" l="1"/>
  <c r="L67"/>
  <c r="E55"/>
  <c r="E56" s="1"/>
  <c r="G55"/>
  <c r="G5"/>
  <c r="F55"/>
  <c r="Q67" l="1"/>
  <c r="J5"/>
  <c r="J67" s="1"/>
</calcChain>
</file>

<file path=xl/sharedStrings.xml><?xml version="1.0" encoding="utf-8"?>
<sst xmlns="http://schemas.openxmlformats.org/spreadsheetml/2006/main" count="987" uniqueCount="236">
  <si>
    <t>Объем межбюджетных трансфертов</t>
  </si>
  <si>
    <t>из республиканского бюджета Республики Хакасия</t>
  </si>
  <si>
    <t>Наименование  доходов</t>
  </si>
  <si>
    <t>Субвенции бюджетам бюджетной системы Российской Федерации</t>
  </si>
  <si>
    <t xml:space="preserve">Субвенции бюджетам городских округов на выполнение передаваемых полномочий субъектов Российской Федерации, в том числе </t>
  </si>
  <si>
    <t>-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</si>
  <si>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-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</si>
  <si>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- субвенции на осуществление государственных полномочий по опеке и попечительству в отношении несовершеннолетних</t>
  </si>
  <si>
    <t>- субвенции на осуществление органами местного самоуправления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</si>
  <si>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- субвенции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</si>
  <si>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- субвенции на осуществление органами местного самоуправления  государственных полномочий в области охраны труда</t>
  </si>
  <si>
    <t>- субвенции на осуществление государственных полномочий по созданию, организации и обеспечению деятельности административных комиссий</t>
  </si>
  <si>
    <t>- субвенции на осуществление отдельных 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</si>
  <si>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 ребенка в семье опекуна и приемной семье, а также вознаграждение, причитающееся 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</si>
  <si>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</si>
  <si>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</si>
  <si>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бюджетам городских округов на оплату жилищно-коммунальных услуг отдельным категориям граждан</t>
  </si>
  <si>
    <t>измен.</t>
  </si>
  <si>
    <t>Прочие межбюджетные трансферты, передаваемые бюджетам городских округов</t>
  </si>
  <si>
    <t>- 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</si>
  <si>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- прочие субсидии  бюджетам городских округов</t>
  </si>
  <si>
    <t>- субсидии на реализацию мероприятий по предоставлению школьного питания</t>
  </si>
  <si>
    <t>2 02 00000 00 0000 000</t>
  </si>
  <si>
    <t>Безвозмездные поступления от других бюджетов бюджетной системы Российской Федерации</t>
  </si>
  <si>
    <t>Субсидии бюджетам городских округов на поддержку обустройства мест массового отдыха населения (городских парков)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</si>
  <si>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</si>
  <si>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</si>
  <si>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- дотации бюджетам городских округов на поддержку мер по обеспечению сбалансированности бюджетов</t>
  </si>
  <si>
    <t>- субсидии на материально-техническое обеспечение единых дежурно-диспетчерских служб муниципальных образований</t>
  </si>
  <si>
    <t>- субсидии  на реализацию мероприятий, направленных на энергосбережение и повышения энергетической эффективности</t>
  </si>
  <si>
    <t>субсидии на строительство,  реконструкцию, капитальный ремонт общеобразовательных организаций, оснащение оборудованием</t>
  </si>
  <si>
    <t>- субсидии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</si>
  <si>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 xml:space="preserve"> - субсидии на поддержку муниципальных программ формирования современной городской среды в рамках подпрограммы "Доступное жилье" на 2018 год</t>
  </si>
  <si>
    <t xml:space="preserve"> - субсидии бюджетам муниципальных образований Республики Хакасия на частичное погашение просроченной кредиторской задолженности на 2018 г.</t>
  </si>
  <si>
    <t>Сумма на 2019 год,   тыс.руб.</t>
  </si>
  <si>
    <t>2019 руб.</t>
  </si>
  <si>
    <t>2 02 10000 00 0000 150</t>
  </si>
  <si>
    <t>2 02 20000 00 0000 150</t>
  </si>
  <si>
    <t>2 02 25519 04 0000 150</t>
  </si>
  <si>
    <t>2 02 25555 04 0000 150</t>
  </si>
  <si>
    <t>2 02 25560 04 0000 150</t>
  </si>
  <si>
    <t xml:space="preserve"> 2 02 25497 04 0000 150</t>
  </si>
  <si>
    <t>2 02 29999 04 0000 150</t>
  </si>
  <si>
    <t>2 02 30000 00 0000 150</t>
  </si>
  <si>
    <t>2 02 30024 04 0000 150</t>
  </si>
  <si>
    <t>2 02 30027 04 0000 150</t>
  </si>
  <si>
    <t>2 02 30029 04 0000 150</t>
  </si>
  <si>
    <t>2 02 35082 04 0000 150</t>
  </si>
  <si>
    <t>2 02 35250 04 0000 150</t>
  </si>
  <si>
    <t>2 02 49999 04 0000 150</t>
  </si>
  <si>
    <t xml:space="preserve">  -  субсидии на проведение работ по описанию границ населенных пунктов и внесению соответствующих сведений в Единый государственный реестр недвижимости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</si>
  <si>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</si>
  <si>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</si>
  <si>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</si>
  <si>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</si>
  <si>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2 07 04050 04 0000 150</t>
  </si>
  <si>
    <t>Прочие безвозмездные поступления в бюджеты городских округов</t>
  </si>
  <si>
    <t>2 00 00000 00 0000 000</t>
  </si>
  <si>
    <t>БЕЗВОЗМЕЗДНЫЕ ПОСТУПЛЕНИЯ</t>
  </si>
  <si>
    <t xml:space="preserve">Субсидии бюджетам городских округов на реализацию программ формирования современной городской среды
</t>
  </si>
  <si>
    <t>гороо</t>
  </si>
  <si>
    <t>адм</t>
  </si>
  <si>
    <t>жкх</t>
  </si>
  <si>
    <t>дагн</t>
  </si>
  <si>
    <t>культ</t>
  </si>
  <si>
    <t>2 02 35469 04 0000 150</t>
  </si>
  <si>
    <t xml:space="preserve">2 02 20041 04 0000 150          
</t>
  </si>
  <si>
    <t>- субсидии на реализацию мероприятий по развитию общеобразовательных организаций на 2020 год(оснащение оборудованием общеобразовательных школ в муниципальных образованиях Республики Хакасия) на 2020 год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</si>
  <si>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</si>
  <si>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</si>
  <si>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
Субсидии бюджетам городских округов на реализацию мероприятий по обеспечению жильем молодых семей</t>
  </si>
  <si>
    <t>бфу</t>
  </si>
  <si>
    <t>Межбюджетные трансферты, передаваемые бюджетам городских округов на создание модельных муниципальных библиотек</t>
  </si>
  <si>
    <t>2 02 45454 04 0000 150</t>
  </si>
  <si>
    <t>КБК</t>
  </si>
  <si>
    <t xml:space="preserve"> - дотации бюджетам городских округов на выравнивание бюджетной обеспеченности</t>
  </si>
  <si>
    <t>2 02 15001 04 0000 150</t>
  </si>
  <si>
    <t xml:space="preserve">2 02 15002 04 0000 150    
</t>
  </si>
  <si>
    <t xml:space="preserve">2 02 25527 04 0000 150
</t>
  </si>
  <si>
    <t>фб 2020</t>
  </si>
  <si>
    <t>рх 2020</t>
  </si>
  <si>
    <t>фб 2021</t>
  </si>
  <si>
    <t>рх 2021</t>
  </si>
  <si>
    <t>фб 2022</t>
  </si>
  <si>
    <t>рх 2022</t>
  </si>
  <si>
    <t xml:space="preserve">
2 02 25299 04 0000 150
</t>
  </si>
  <si>
    <r>
      <t xml:space="preserve"> -</t>
    </r>
    <r>
      <rPr>
        <b/>
        <sz val="9"/>
        <rFont val="Times New Roman"/>
        <family val="1"/>
        <charset val="204"/>
      </rPr>
      <t xml:space="preserve">субвенции на осуществлении отдельных государственых полномочий по организацийй мероприятий при осуществлении деятельности по обращению с животными без владельцев </t>
    </r>
  </si>
  <si>
    <t xml:space="preserve">Субвенции бюджетам городских округов на проведение Всероссийской переписи населения </t>
  </si>
  <si>
    <t xml:space="preserve"> - субсидий бюджетам муниципальных образований Республики Хакасия на модернизацию региональных систем дошкольного образования </t>
  </si>
  <si>
    <t xml:space="preserve"> -  субсидии на обеспечение первичных мер пожарной безопасности </t>
  </si>
  <si>
    <t>2020 тыс.руб</t>
  </si>
  <si>
    <t>2020 руб.</t>
  </si>
  <si>
    <t>2021тыс.руб</t>
  </si>
  <si>
    <t>2021.руб</t>
  </si>
  <si>
    <t>2022 тыс.руб</t>
  </si>
  <si>
    <t>2022 руб</t>
  </si>
  <si>
    <t>руб.</t>
  </si>
  <si>
    <t>изменения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</si>
  <si>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</si>
  <si>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</si>
  <si>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городских округов на реализацию мероприятий по обеспечению жильем молодых семей
</t>
  </si>
  <si>
    <t xml:space="preserve">Дотации бюджетам городских округов на выравнивание бюджетной обеспеченности из бюджета субъекта Российской Федерации
</t>
  </si>
  <si>
    <t>Дотации бюджетам городских округов на поддержку мер по обеспечению сбалансированности бюджетов</t>
  </si>
  <si>
    <t xml:space="preserve">Субсидии бюджетам городских округов на поддержку отрасли культуры
</t>
  </si>
  <si>
    <r>
      <rPr>
        <b/>
        <sz val="9"/>
        <color rgb="FF00B050"/>
        <rFont val="Times New Roman"/>
        <family val="1"/>
        <charset val="204"/>
      </rPr>
      <t xml:space="preserve">Субсидии бюджетам городских округов на государственную поддержку малого и среднего предпринимательства в субъектах Российской Федерации
</t>
    </r>
    <r>
      <rPr>
        <sz val="9"/>
        <color rgb="FF00B050"/>
        <rFont val="Times New Roman"/>
        <family val="1"/>
        <charset val="204"/>
      </rPr>
      <t xml:space="preserve">
</t>
    </r>
  </si>
  <si>
    <t xml:space="preserve">Субсидии бюджетам городских округов на реализацию программ формирования современной городской среды
</t>
  </si>
  <si>
    <t xml:space="preserve">Субвенции бюджетам городских округов на выполнение передаваемых полномочий субъектов Российской Федерации
, в том числе 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</si>
  <si>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</si>
  <si>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проведение Всероссийской переписи населения на 2020 год</t>
  </si>
  <si>
    <t xml:space="preserve"> - субсидии на частичное погашение кредиторской задолженности</t>
  </si>
  <si>
    <t>в бюджет муниципального образования город Саяногорск на 2020 год (данные на 18.08.2020))</t>
  </si>
  <si>
    <t xml:space="preserve"> - субсидии на реализацию мероприятий по развитию общеобразовательных организации в целях реализации мероприятия регионального проекта "Цифровая образовательная среда" в рамках национального проекта "Образование по внедрению целевой модели цифровой образовательной среды в общеобразовательных ораганизациях и профессиональных образовательных организациях)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</si>
  <si>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</si>
  <si>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</si>
  <si>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</si>
  <si>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</si>
  <si>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-  субсидии на мероприятия по предупреждению распространения новой коронавирусной инфекции в рамках подпрограммы "Обеспечение реализации государственной программы" на 2020 год</t>
  </si>
  <si>
    <t>откл.</t>
  </si>
  <si>
    <t xml:space="preserve">
2 02 20229 04 0000 150
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</si>
  <si>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</si>
  <si>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 xml:space="preserve"> - субсидии на ликвидацию мест несанкционированного размещения твердых коммунальных отходов </t>
  </si>
  <si>
    <t>фб 2023</t>
  </si>
  <si>
    <t>рх 2023</t>
  </si>
  <si>
    <t xml:space="preserve">- субсидии на реализацию мероприятий по развитию общеобразовательных организаций </t>
  </si>
  <si>
    <t xml:space="preserve"> -субвенции на осуществлении отдельных государственных полномочий по организаций мероприятий при осуществлении деятельности по обращению с животными без владельцев </t>
  </si>
  <si>
    <t xml:space="preserve"> -Субсидии бюджетам городских округов на государственную поддержку малого и среднего предпринимательства в субъектах Российской Федерации
( 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предпринимательства)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</si>
  <si>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</si>
  <si>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</t>
  </si>
  <si>
    <t xml:space="preserve">2 02 40000 00 0000 150
</t>
  </si>
  <si>
    <t>фб 2024</t>
  </si>
  <si>
    <t>рх 2024</t>
  </si>
  <si>
    <t>Субсидии бюджетам городских округов на поддержку отрасли культуры</t>
  </si>
  <si>
    <t>2 02 25169 04 0000 150</t>
  </si>
  <si>
    <t xml:space="preserve"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</si>
  <si>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 xml:space="preserve">  -  субсидий бюджетам муниципальных образований Республики Хакасия  на обеспечение услугами связи в части предоставления широкополосного доступа к сети «Интернет» социально значимых объектов муниципальных образований на 2022 год
</t>
  </si>
  <si>
    <t>ГАД</t>
  </si>
  <si>
    <t xml:space="preserve">  +105+1006</t>
  </si>
  <si>
    <t>БФУ</t>
  </si>
  <si>
    <t>в бюджет муниципального образования город Саяногорск на 2022 -25 года (по 0 бюджету)</t>
  </si>
  <si>
    <t>2023 по 0 бюджету</t>
  </si>
  <si>
    <t>2024 по 0 бюджету</t>
  </si>
  <si>
    <t>2025 по 0 бюджету</t>
  </si>
  <si>
    <t>-субвенции на осуществление органами местного самоуправления государственных полномочий в сфере трудовых отношений</t>
  </si>
  <si>
    <t>субвенции на осуществление отдельных государственных полномочий по установлению регулируемых тарифов на перевозку пассажиров и багажа автомобильным транспортом и городским наземным эклектическим транспортом по муниципальным маршрутам регулируемых перевозок на территории РХ</t>
  </si>
  <si>
    <t>в бюджет муниципального образования город Саяногорск на 2023 -25 года (1 чтение)</t>
  </si>
  <si>
    <r>
      <t xml:space="preserve">2023 </t>
    </r>
    <r>
      <rPr>
        <b/>
        <sz val="11"/>
        <rFont val="Calibri"/>
        <family val="2"/>
        <charset val="204"/>
        <scheme val="minor"/>
      </rPr>
      <t>1 чтение</t>
    </r>
  </si>
  <si>
    <r>
      <t xml:space="preserve">2025 </t>
    </r>
    <r>
      <rPr>
        <b/>
        <sz val="11"/>
        <rFont val="Calibri"/>
        <family val="2"/>
        <charset val="204"/>
        <scheme val="minor"/>
      </rPr>
      <t>1 чтение</t>
    </r>
  </si>
  <si>
    <r>
      <t xml:space="preserve">2024 </t>
    </r>
    <r>
      <rPr>
        <b/>
        <sz val="11"/>
        <rFont val="Calibri"/>
        <family val="2"/>
        <charset val="204"/>
        <scheme val="minor"/>
      </rPr>
      <t>1 чтение</t>
    </r>
  </si>
  <si>
    <t>2 02 19999 04 0000 150</t>
  </si>
  <si>
    <t xml:space="preserve">-  прочие дотации бюджетам городских округов </t>
  </si>
  <si>
    <t>2 02 25393 04 0000 150</t>
  </si>
  <si>
    <t xml:space="preserve">Субсидии бюджетам городских округов на финансовое обеспечение дорожной деятельности в рамках реализации национального проекта "Безопасные качественные дороги"
</t>
  </si>
  <si>
    <t xml:space="preserve">  -  субсидий бюджетам муниципальных образований Республики Хакасия  на обеспечение услугами связи в части предоставления широкополосного доступа к сети «Интернет» социально значимых объектов муниципальных образований 
</t>
  </si>
  <si>
    <t xml:space="preserve"> - субсидии на подготовку документов территориального планирования правил землепользования и застройки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</si>
  <si>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</si>
  <si>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- субсидии на строительство, модернизацию и реконструкцию спортивных объектов муниципальной собственности </t>
  </si>
  <si>
    <t xml:space="preserve"> - субсидии на оказание адресной финансовой поддержки спортивным организациям, осуществляющим подготовку спортивного резерва</t>
  </si>
  <si>
    <t xml:space="preserve"> - субсидии на капитальный ремонт объектов муниципальной собственности в сфере физической культуры и спорта</t>
  </si>
  <si>
    <t>рх 2025</t>
  </si>
  <si>
    <t>фб 2025</t>
  </si>
  <si>
    <t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</si>
  <si>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</si>
  <si>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2 02 25098 04 0000 150</t>
  </si>
  <si>
    <t xml:space="preserve"> - субсидии на реализацию программ формирования современной городской среды</t>
  </si>
  <si>
    <t xml:space="preserve">Субсидии бюджетам городских округов на обеспечение комплексного развития сельских территорий
</t>
  </si>
  <si>
    <t xml:space="preserve"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</si>
  <si>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 xml:space="preserve">2 02 25786 04 0000 150
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</si>
  <si>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</si>
  <si>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осуще-ствляющих образовательную деятельность по адаптированным основным общеобразовательным программам</t>
  </si>
  <si>
    <t xml:space="preserve">2 02 25172 04 0000 150
</t>
  </si>
  <si>
    <t xml:space="preserve">  -  субсидии бюджетам муниципальных образований Республики Хакасия  на обеспечение услугами связи в части предоставления широкополосного доступа к сети «Интернет» социально значимых объектов муниципальных образований 
</t>
  </si>
  <si>
    <t xml:space="preserve">  - субвенции на осуществление отдельных государственных полномочий по установлению регулируемых тарифов на перевозку пассажиров и багажа автомобильным транспортом и городским наземным электрическим транспортом по муниципальным маршрутам регулируемых перевозок на территории Республики Хакасия</t>
  </si>
  <si>
    <t xml:space="preserve"> - субсидии на мероприятия по обеспечению безопасности дорожного движения и снижению аварийности на автомобильных дорогах общего пользования местного значения Республики Хакасия и (или) искусственных сооружениях</t>
  </si>
  <si>
    <t xml:space="preserve"> -субвенции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</si>
  <si>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2 02 25576 04 0000 150</t>
  </si>
  <si>
    <t xml:space="preserve"> -субсидии  на укрепление материально - технической базы муниципальных учреждений в сфере культуры</t>
  </si>
  <si>
    <t>2 02 15002 05 0000 150</t>
  </si>
  <si>
    <t xml:space="preserve">  -  дотации бюджетам муниципальных районов на поддержку мер по обеспечению сбалансированности бюджетов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</si>
  <si>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</si>
  <si>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</si>
  <si>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r>
      <t xml:space="preserve">2023 </t>
    </r>
    <r>
      <rPr>
        <b/>
        <sz val="11"/>
        <rFont val="Calibri"/>
        <family val="2"/>
        <charset val="204"/>
        <scheme val="minor"/>
      </rPr>
      <t>было</t>
    </r>
  </si>
  <si>
    <r>
      <t xml:space="preserve">2024 </t>
    </r>
    <r>
      <rPr>
        <b/>
        <sz val="11"/>
        <rFont val="Calibri"/>
        <family val="2"/>
        <charset val="204"/>
        <scheme val="minor"/>
      </rPr>
      <t>было</t>
    </r>
  </si>
  <si>
    <t>в бюджет муниципального образования город Саяногорск на 2023 -25 года (уточненные данные на 18.09.2023)</t>
  </si>
  <si>
    <t xml:space="preserve">2 02 15001 04 0000 150
</t>
  </si>
  <si>
    <t xml:space="preserve"> 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</si>
  <si>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</si>
  <si>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 xml:space="preserve">  -  дотации бюджетам городских округов на поддержку мер по обеспечению сбалансированности бюджетов</t>
  </si>
  <si>
    <t xml:space="preserve"> - субсидии на обустройство (создание) мест (площадок) накопления отходов, в том числе твердых коммунальных отходов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</si>
  <si>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</si>
  <si>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</si>
  <si>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2 02 25171 04 0000 150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</si>
  <si>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</si>
  <si>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реализацию мероприятий по обеспечению жильем молодых семей</t>
  </si>
  <si>
    <t xml:space="preserve"> - субсидии бюджетам муниципальных образований на осуществление деятельности по обращению с животными без владельцев</t>
  </si>
  <si>
    <t xml:space="preserve">  -  субсидии на разработку проектно-сметной документации на строительство объектов муниципальной собственности в сфере культуры</t>
  </si>
  <si>
    <t xml:space="preserve"> - субсидии на проведение ремонтных (восстановительных) работ памятников Великой Отечественной войны и благоустройство их территорий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</si>
  <si>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</si>
  <si>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</si>
  <si>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фб 2024 </t>
  </si>
  <si>
    <t xml:space="preserve">рх 2024 </t>
  </si>
  <si>
    <t xml:space="preserve">РХ 2025 </t>
  </si>
  <si>
    <t xml:space="preserve">ФБ 2026 </t>
  </si>
  <si>
    <t xml:space="preserve">РХ 2026 </t>
  </si>
  <si>
    <t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</si>
  <si>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 </t>
  </si>
  <si>
    <t>декабрь</t>
  </si>
  <si>
    <t>2025                      по Закону РХ</t>
  </si>
  <si>
    <t>2026                                по Закону РХ</t>
  </si>
  <si>
    <t xml:space="preserve">                                            2027                                  по Закону РХ</t>
  </si>
  <si>
    <t>Откл.</t>
  </si>
  <si>
    <t xml:space="preserve">в бюджет муниципального образования город Саяногорск на 2025 -27 года </t>
  </si>
  <si>
    <t xml:space="preserve">  -    субсидии на развитие и поддержание в постоянной готовности муниципальных систем оповещения населения</t>
  </si>
  <si>
    <t xml:space="preserve">2 02 25513 04 0000 150
2 02 20229 04 0000 150
</t>
  </si>
  <si>
    <t>Субсидии бюджетам городских округов на развитие сети учреждений культурно-досугового типа</t>
  </si>
  <si>
    <t>2 02 25559 02 0000 150</t>
  </si>
  <si>
    <t xml:space="preserve">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воспитаниямалых городах
</t>
  </si>
  <si>
    <t xml:space="preserve">2 02 20303 04 0000 150
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</si>
  <si>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</si>
  <si>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2 02 25424 04 0000 150
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</si>
  <si>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</si>
  <si>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ФБ 2027 </t>
  </si>
  <si>
    <t xml:space="preserve">РХ 2027 </t>
  </si>
  <si>
    <t xml:space="preserve">в бюджет муниципального образования город Саяногорск на 2024 -2027 года </t>
  </si>
  <si>
    <t xml:space="preserve">Субсидии бюджетам городских округов на оснащение предметных кабинетов общеобразовательных организаций средствами обучения и воспитаниямалых городах
</t>
  </si>
  <si>
    <t>2 02 25559 04 0000 150</t>
  </si>
  <si>
    <t>2026 год  =67 254 344,0 (на ремонт муницип. Школ искусств)+48 479,0 (компл. Книжных фондов)</t>
  </si>
  <si>
    <t xml:space="preserve"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</si>
  <si>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бульвар</t>
  </si>
  <si>
    <t>школы</t>
  </si>
  <si>
    <t>компл. Кн. Фондов</t>
  </si>
  <si>
    <t>школы антитерор, окна, ремонт</t>
  </si>
  <si>
    <t>садики антитерор, окна, ремонт</t>
  </si>
  <si>
    <t>строительство дорог</t>
  </si>
  <si>
    <t>сети водоснобжения и теплоснабжение</t>
  </si>
  <si>
    <t>пешеходные переходы, сфеторы</t>
  </si>
  <si>
    <t>благоустройство общественных и дворовых тер.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</si>
</sst>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#,##0.000000"/>
  </numFmts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color rgb="FF00B05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4">
      <alignment horizontal="left" vertical="top" wrapText="1"/>
    </xf>
  </cellStyleXfs>
  <cellXfs count="408">
    <xf numFmtId="0" fontId="0" fillId="0" borderId="0" xfId="0"/>
    <xf numFmtId="0" fontId="1" fillId="0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3" fillId="0" borderId="0" xfId="0" applyNumberFormat="1" applyFont="1"/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5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center" wrapText="1"/>
    </xf>
    <xf numFmtId="164" fontId="5" fillId="5" borderId="1" xfId="0" applyNumberFormat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/>
    </xf>
    <xf numFmtId="164" fontId="6" fillId="0" borderId="1" xfId="0" applyNumberFormat="1" applyFont="1" applyBorder="1"/>
    <xf numFmtId="164" fontId="3" fillId="0" borderId="0" xfId="0" applyNumberFormat="1" applyFont="1"/>
    <xf numFmtId="4" fontId="5" fillId="3" borderId="1" xfId="0" applyNumberFormat="1" applyFont="1" applyFill="1" applyBorder="1" applyAlignment="1">
      <alignment horizontal="center" wrapText="1"/>
    </xf>
    <xf numFmtId="4" fontId="5" fillId="5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/>
    <xf numFmtId="49" fontId="4" fillId="5" borderId="1" xfId="0" applyNumberFormat="1" applyFont="1" applyFill="1" applyBorder="1" applyAlignment="1">
      <alignment vertical="top" wrapText="1"/>
    </xf>
    <xf numFmtId="164" fontId="4" fillId="3" borderId="1" xfId="0" applyNumberFormat="1" applyFont="1" applyFill="1" applyBorder="1" applyAlignment="1">
      <alignment horizontal="right"/>
    </xf>
    <xf numFmtId="4" fontId="4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/>
    <xf numFmtId="164" fontId="4" fillId="0" borderId="1" xfId="0" applyNumberFormat="1" applyFont="1" applyBorder="1"/>
    <xf numFmtId="4" fontId="4" fillId="0" borderId="1" xfId="0" applyNumberFormat="1" applyFont="1" applyBorder="1"/>
    <xf numFmtId="0" fontId="4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4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6" fillId="3" borderId="1" xfId="0" applyNumberFormat="1" applyFont="1" applyFill="1" applyBorder="1"/>
    <xf numFmtId="4" fontId="6" fillId="3" borderId="1" xfId="0" applyNumberFormat="1" applyFont="1" applyFill="1" applyBorder="1"/>
    <xf numFmtId="4" fontId="3" fillId="3" borderId="0" xfId="0" applyNumberFormat="1" applyFont="1" applyFill="1"/>
    <xf numFmtId="49" fontId="4" fillId="3" borderId="1" xfId="0" applyNumberFormat="1" applyFont="1" applyFill="1" applyBorder="1" applyAlignment="1">
      <alignment vertical="top" wrapText="1"/>
    </xf>
    <xf numFmtId="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164" fontId="4" fillId="3" borderId="1" xfId="0" applyNumberFormat="1" applyFont="1" applyFill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wrapText="1"/>
    </xf>
    <xf numFmtId="164" fontId="5" fillId="5" borderId="0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0" borderId="1" xfId="0" applyNumberFormat="1" applyFont="1" applyBorder="1"/>
    <xf numFmtId="4" fontId="3" fillId="0" borderId="1" xfId="0" applyNumberFormat="1" applyFont="1" applyBorder="1"/>
    <xf numFmtId="0" fontId="4" fillId="0" borderId="0" xfId="0" applyFont="1" applyAlignment="1">
      <alignment wrapText="1"/>
    </xf>
    <xf numFmtId="4" fontId="3" fillId="0" borderId="1" xfId="0" applyNumberFormat="1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3" borderId="1" xfId="0" applyNumberFormat="1" applyFont="1" applyFill="1" applyBorder="1" applyAlignment="1">
      <alignment horizontal="center"/>
    </xf>
    <xf numFmtId="4" fontId="9" fillId="0" borderId="1" xfId="0" applyNumberFormat="1" applyFont="1" applyBorder="1"/>
    <xf numFmtId="4" fontId="10" fillId="3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vertical="top" wrapText="1"/>
    </xf>
    <xf numFmtId="164" fontId="4" fillId="6" borderId="1" xfId="0" applyNumberFormat="1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wrapText="1"/>
    </xf>
    <xf numFmtId="4" fontId="3" fillId="6" borderId="0" xfId="0" applyNumberFormat="1" applyFont="1" applyFill="1"/>
    <xf numFmtId="4" fontId="3" fillId="6" borderId="1" xfId="0" applyNumberFormat="1" applyFont="1" applyFill="1" applyBorder="1" applyAlignment="1">
      <alignment horizontal="center"/>
    </xf>
    <xf numFmtId="4" fontId="3" fillId="6" borderId="1" xfId="0" applyNumberFormat="1" applyFont="1" applyFill="1" applyBorder="1"/>
    <xf numFmtId="0" fontId="12" fillId="5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top" wrapText="1"/>
    </xf>
    <xf numFmtId="165" fontId="13" fillId="0" borderId="1" xfId="0" applyNumberFormat="1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12" fillId="3" borderId="1" xfId="0" applyNumberFormat="1" applyFont="1" applyFill="1" applyBorder="1" applyAlignment="1">
      <alignment vertical="top" wrapText="1"/>
    </xf>
    <xf numFmtId="165" fontId="12" fillId="3" borderId="1" xfId="0" applyNumberFormat="1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/>
    </xf>
    <xf numFmtId="4" fontId="3" fillId="4" borderId="0" xfId="0" applyNumberFormat="1" applyFont="1" applyFill="1"/>
    <xf numFmtId="4" fontId="3" fillId="4" borderId="1" xfId="0" applyNumberFormat="1" applyFont="1" applyFill="1" applyBorder="1"/>
    <xf numFmtId="4" fontId="9" fillId="4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4" fillId="0" borderId="0" xfId="0" applyFont="1" applyAlignment="1">
      <alignment wrapText="1"/>
    </xf>
    <xf numFmtId="0" fontId="15" fillId="0" borderId="0" xfId="0" applyFont="1"/>
    <xf numFmtId="0" fontId="3" fillId="7" borderId="0" xfId="0" applyFont="1" applyFill="1"/>
    <xf numFmtId="4" fontId="3" fillId="7" borderId="0" xfId="0" applyNumberFormat="1" applyFont="1" applyFill="1" applyAlignment="1">
      <alignment horizontal="center"/>
    </xf>
    <xf numFmtId="4" fontId="7" fillId="7" borderId="0" xfId="0" applyNumberFormat="1" applyFont="1" applyFill="1" applyAlignment="1">
      <alignment horizontal="center"/>
    </xf>
    <xf numFmtId="4" fontId="3" fillId="7" borderId="1" xfId="0" applyNumberFormat="1" applyFont="1" applyFill="1" applyBorder="1"/>
    <xf numFmtId="164" fontId="3" fillId="0" borderId="3" xfId="0" applyNumberFormat="1" applyFont="1" applyBorder="1"/>
    <xf numFmtId="0" fontId="3" fillId="7" borderId="3" xfId="0" applyFont="1" applyFill="1" applyBorder="1"/>
    <xf numFmtId="4" fontId="3" fillId="0" borderId="2" xfId="0" applyNumberFormat="1" applyFont="1" applyBorder="1"/>
    <xf numFmtId="4" fontId="3" fillId="7" borderId="2" xfId="0" applyNumberFormat="1" applyFont="1" applyFill="1" applyBorder="1"/>
    <xf numFmtId="4" fontId="5" fillId="7" borderId="1" xfId="0" applyNumberFormat="1" applyFont="1" applyFill="1" applyBorder="1" applyAlignment="1">
      <alignment horizontal="center" wrapText="1"/>
    </xf>
    <xf numFmtId="4" fontId="3" fillId="7" borderId="1" xfId="0" applyNumberFormat="1" applyFont="1" applyFill="1" applyBorder="1" applyAlignment="1">
      <alignment horizontal="center"/>
    </xf>
    <xf numFmtId="4" fontId="5" fillId="7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left" wrapText="1"/>
    </xf>
    <xf numFmtId="164" fontId="3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4" fontId="3" fillId="5" borderId="0" xfId="0" applyNumberFormat="1" applyFont="1" applyFill="1"/>
    <xf numFmtId="0" fontId="1" fillId="5" borderId="1" xfId="0" applyFont="1" applyFill="1" applyBorder="1" applyAlignment="1">
      <alignment horizontal="justify" vertical="top" wrapText="1"/>
    </xf>
    <xf numFmtId="165" fontId="4" fillId="5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left" wrapText="1"/>
    </xf>
    <xf numFmtId="0" fontId="4" fillId="5" borderId="0" xfId="0" applyFont="1" applyFill="1" applyAlignment="1">
      <alignment wrapText="1"/>
    </xf>
    <xf numFmtId="164" fontId="4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/>
    <xf numFmtId="4" fontId="6" fillId="5" borderId="1" xfId="0" applyNumberFormat="1" applyFont="1" applyFill="1" applyBorder="1"/>
    <xf numFmtId="164" fontId="4" fillId="5" borderId="0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0" fontId="3" fillId="8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166" fontId="4" fillId="5" borderId="1" xfId="0" applyNumberFormat="1" applyFont="1" applyFill="1" applyBorder="1" applyAlignment="1">
      <alignment horizontal="center" wrapText="1"/>
    </xf>
    <xf numFmtId="166" fontId="3" fillId="5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164" fontId="4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top"/>
    </xf>
    <xf numFmtId="166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4" fontId="4" fillId="8" borderId="1" xfId="0" applyNumberFormat="1" applyFont="1" applyFill="1" applyBorder="1" applyAlignment="1">
      <alignment horizontal="center" wrapText="1"/>
    </xf>
    <xf numFmtId="4" fontId="4" fillId="8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left" wrapText="1"/>
    </xf>
    <xf numFmtId="164" fontId="4" fillId="5" borderId="1" xfId="0" applyNumberFormat="1" applyFont="1" applyFill="1" applyBorder="1" applyAlignment="1">
      <alignment horizontal="center"/>
    </xf>
    <xf numFmtId="166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4" fontId="4" fillId="5" borderId="1" xfId="0" applyNumberFormat="1" applyFont="1" applyFill="1" applyBorder="1" applyAlignment="1">
      <alignment horizontal="center"/>
    </xf>
    <xf numFmtId="49" fontId="18" fillId="5" borderId="1" xfId="0" applyNumberFormat="1" applyFont="1" applyFill="1" applyBorder="1" applyAlignment="1">
      <alignment vertical="top" wrapText="1"/>
    </xf>
    <xf numFmtId="0" fontId="18" fillId="5" borderId="1" xfId="0" applyFont="1" applyFill="1" applyBorder="1" applyAlignment="1">
      <alignment vertical="top" wrapText="1"/>
    </xf>
    <xf numFmtId="4" fontId="10" fillId="7" borderId="1" xfId="0" applyNumberFormat="1" applyFont="1" applyFill="1" applyBorder="1" applyAlignment="1">
      <alignment horizontal="center"/>
    </xf>
    <xf numFmtId="4" fontId="9" fillId="7" borderId="1" xfId="0" applyNumberFormat="1" applyFont="1" applyFill="1" applyBorder="1" applyAlignment="1">
      <alignment horizontal="center"/>
    </xf>
    <xf numFmtId="4" fontId="9" fillId="7" borderId="1" xfId="0" applyNumberFormat="1" applyFont="1" applyFill="1" applyBorder="1"/>
    <xf numFmtId="4" fontId="5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4" fontId="17" fillId="7" borderId="1" xfId="0" applyNumberFormat="1" applyFont="1" applyFill="1" applyBorder="1"/>
    <xf numFmtId="4" fontId="7" fillId="7" borderId="1" xfId="0" applyNumberFormat="1" applyFont="1" applyFill="1" applyBorder="1" applyAlignment="1">
      <alignment horizontal="center"/>
    </xf>
    <xf numFmtId="4" fontId="3" fillId="5" borderId="2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7" borderId="0" xfId="0" applyNumberFormat="1" applyFont="1" applyFill="1"/>
    <xf numFmtId="4" fontId="9" fillId="0" borderId="0" xfId="0" applyNumberFormat="1" applyFont="1"/>
    <xf numFmtId="4" fontId="7" fillId="7" borderId="2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4" fillId="5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/>
    <xf numFmtId="4" fontId="7" fillId="0" borderId="1" xfId="0" applyNumberFormat="1" applyFont="1" applyBorder="1"/>
    <xf numFmtId="3" fontId="7" fillId="0" borderId="1" xfId="0" applyNumberFormat="1" applyFont="1" applyBorder="1"/>
    <xf numFmtId="3" fontId="7" fillId="0" borderId="3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" fontId="3" fillId="8" borderId="0" xfId="0" applyNumberFormat="1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wrapText="1"/>
    </xf>
    <xf numFmtId="3" fontId="7" fillId="3" borderId="1" xfId="0" applyNumberFormat="1" applyFont="1" applyFill="1" applyBorder="1"/>
    <xf numFmtId="4" fontId="9" fillId="8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166" fontId="3" fillId="3" borderId="1" xfId="0" applyNumberFormat="1" applyFont="1" applyFill="1" applyBorder="1" applyAlignment="1">
      <alignment horizontal="center"/>
    </xf>
    <xf numFmtId="4" fontId="19" fillId="8" borderId="1" xfId="0" applyNumberFormat="1" applyFont="1" applyFill="1" applyBorder="1" applyAlignment="1">
      <alignment horizontal="center"/>
    </xf>
    <xf numFmtId="4" fontId="19" fillId="3" borderId="1" xfId="0" applyNumberFormat="1" applyFont="1" applyFill="1" applyBorder="1" applyAlignment="1">
      <alignment horizontal="center"/>
    </xf>
    <xf numFmtId="4" fontId="10" fillId="7" borderId="0" xfId="0" applyNumberFormat="1" applyFont="1" applyFill="1" applyAlignment="1">
      <alignment horizontal="center"/>
    </xf>
    <xf numFmtId="4" fontId="12" fillId="8" borderId="1" xfId="0" applyNumberFormat="1" applyFont="1" applyFill="1" applyBorder="1" applyAlignment="1">
      <alignment horizontal="center" wrapText="1"/>
    </xf>
    <xf numFmtId="0" fontId="3" fillId="5" borderId="0" xfId="0" applyFont="1" applyFill="1"/>
    <xf numFmtId="0" fontId="3" fillId="5" borderId="3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164" fontId="3" fillId="5" borderId="3" xfId="0" applyNumberFormat="1" applyFont="1" applyFill="1" applyBorder="1"/>
    <xf numFmtId="0" fontId="3" fillId="5" borderId="3" xfId="0" applyFont="1" applyFill="1" applyBorder="1"/>
    <xf numFmtId="4" fontId="3" fillId="5" borderId="1" xfId="0" applyNumberFormat="1" applyFont="1" applyFill="1" applyBorder="1"/>
    <xf numFmtId="4" fontId="3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/>
    </xf>
    <xf numFmtId="4" fontId="3" fillId="5" borderId="2" xfId="0" applyNumberFormat="1" applyFont="1" applyFill="1" applyBorder="1"/>
    <xf numFmtId="0" fontId="7" fillId="5" borderId="0" xfId="0" applyFont="1" applyFill="1"/>
    <xf numFmtId="0" fontId="7" fillId="5" borderId="1" xfId="0" applyFont="1" applyFill="1" applyBorder="1" applyAlignment="1">
      <alignment horizontal="center"/>
    </xf>
    <xf numFmtId="4" fontId="7" fillId="5" borderId="1" xfId="0" applyNumberFormat="1" applyFont="1" applyFill="1" applyBorder="1"/>
    <xf numFmtId="3" fontId="7" fillId="5" borderId="1" xfId="0" applyNumberFormat="1" applyFont="1" applyFill="1" applyBorder="1"/>
    <xf numFmtId="0" fontId="4" fillId="5" borderId="0" xfId="0" applyFont="1" applyFill="1" applyBorder="1" applyAlignment="1">
      <alignment wrapText="1"/>
    </xf>
    <xf numFmtId="4" fontId="5" fillId="5" borderId="1" xfId="0" applyNumberFormat="1" applyFont="1" applyFill="1" applyBorder="1" applyAlignment="1">
      <alignment horizontal="center"/>
    </xf>
    <xf numFmtId="164" fontId="3" fillId="5" borderId="0" xfId="0" applyNumberFormat="1" applyFont="1" applyFill="1"/>
    <xf numFmtId="4" fontId="3" fillId="5" borderId="0" xfId="0" applyNumberFormat="1" applyFont="1" applyFill="1" applyAlignment="1">
      <alignment horizontal="center"/>
    </xf>
    <xf numFmtId="4" fontId="7" fillId="5" borderId="0" xfId="0" applyNumberFormat="1" applyFont="1" applyFill="1" applyAlignment="1">
      <alignment horizontal="center"/>
    </xf>
    <xf numFmtId="4" fontId="6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center"/>
    </xf>
    <xf numFmtId="164" fontId="1" fillId="5" borderId="1" xfId="0" applyNumberFormat="1" applyFont="1" applyFill="1" applyBorder="1"/>
    <xf numFmtId="164" fontId="4" fillId="5" borderId="1" xfId="0" applyNumberFormat="1" applyFont="1" applyFill="1" applyBorder="1"/>
    <xf numFmtId="4" fontId="4" fillId="5" borderId="1" xfId="0" applyNumberFormat="1" applyFont="1" applyFill="1" applyBorder="1"/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/>
    </xf>
    <xf numFmtId="0" fontId="5" fillId="5" borderId="1" xfId="0" applyFont="1" applyFill="1" applyBorder="1" applyAlignment="1">
      <alignment vertical="top" wrapText="1"/>
    </xf>
    <xf numFmtId="166" fontId="5" fillId="5" borderId="1" xfId="0" applyNumberFormat="1" applyFont="1" applyFill="1" applyBorder="1" applyAlignment="1">
      <alignment horizontal="center" wrapText="1"/>
    </xf>
    <xf numFmtId="4" fontId="7" fillId="5" borderId="1" xfId="0" applyNumberFormat="1" applyFont="1" applyFill="1" applyBorder="1" applyAlignment="1">
      <alignment horizontal="center"/>
    </xf>
    <xf numFmtId="49" fontId="5" fillId="5" borderId="1" xfId="0" applyNumberFormat="1" applyFont="1" applyFill="1" applyBorder="1" applyAlignment="1">
      <alignment vertical="top" wrapText="1"/>
    </xf>
    <xf numFmtId="164" fontId="5" fillId="5" borderId="1" xfId="0" applyNumberFormat="1" applyFont="1" applyFill="1" applyBorder="1" applyAlignment="1">
      <alignment horizontal="center"/>
    </xf>
    <xf numFmtId="166" fontId="5" fillId="5" borderId="1" xfId="0" applyNumberFormat="1" applyFont="1" applyFill="1" applyBorder="1" applyAlignment="1">
      <alignment horizontal="center"/>
    </xf>
    <xf numFmtId="4" fontId="7" fillId="5" borderId="0" xfId="0" applyNumberFormat="1" applyFont="1" applyFill="1"/>
    <xf numFmtId="164" fontId="8" fillId="5" borderId="1" xfId="0" applyNumberFormat="1" applyFont="1" applyFill="1" applyBorder="1"/>
    <xf numFmtId="4" fontId="8" fillId="5" borderId="1" xfId="0" applyNumberFormat="1" applyFont="1" applyFill="1" applyBorder="1"/>
    <xf numFmtId="164" fontId="7" fillId="5" borderId="1" xfId="0" applyNumberFormat="1" applyFont="1" applyFill="1" applyBorder="1" applyAlignment="1">
      <alignment horizontal="center"/>
    </xf>
    <xf numFmtId="166" fontId="7" fillId="5" borderId="1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0" fontId="4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wrapText="1"/>
    </xf>
    <xf numFmtId="164" fontId="6" fillId="5" borderId="3" xfId="0" applyNumberFormat="1" applyFont="1" applyFill="1" applyBorder="1"/>
    <xf numFmtId="4" fontId="6" fillId="5" borderId="3" xfId="0" applyNumberFormat="1" applyFont="1" applyFill="1" applyBorder="1"/>
    <xf numFmtId="164" fontId="3" fillId="5" borderId="3" xfId="0" applyNumberFormat="1" applyFont="1" applyFill="1" applyBorder="1" applyAlignment="1">
      <alignment horizontal="center"/>
    </xf>
    <xf numFmtId="4" fontId="3" fillId="5" borderId="5" xfId="0" applyNumberFormat="1" applyFont="1" applyFill="1" applyBorder="1" applyAlignment="1">
      <alignment horizontal="center"/>
    </xf>
    <xf numFmtId="4" fontId="4" fillId="5" borderId="3" xfId="0" applyNumberFormat="1" applyFont="1" applyFill="1" applyBorder="1" applyAlignment="1">
      <alignment horizontal="center" wrapText="1"/>
    </xf>
    <xf numFmtId="4" fontId="3" fillId="5" borderId="0" xfId="0" applyNumberFormat="1" applyFont="1" applyFill="1" applyBorder="1" applyAlignment="1">
      <alignment horizontal="center"/>
    </xf>
    <xf numFmtId="3" fontId="7" fillId="5" borderId="0" xfId="0" applyNumberFormat="1" applyFont="1" applyFill="1"/>
    <xf numFmtId="4" fontId="3" fillId="5" borderId="5" xfId="0" applyNumberFormat="1" applyFont="1" applyFill="1" applyBorder="1"/>
    <xf numFmtId="0" fontId="20" fillId="5" borderId="3" xfId="0" applyFont="1" applyFill="1" applyBorder="1" applyAlignment="1">
      <alignment horizontal="center" wrapText="1"/>
    </xf>
    <xf numFmtId="0" fontId="20" fillId="5" borderId="3" xfId="0" applyFont="1" applyFill="1" applyBorder="1" applyAlignment="1">
      <alignment horizontal="center"/>
    </xf>
    <xf numFmtId="4" fontId="11" fillId="5" borderId="0" xfId="0" applyNumberFormat="1" applyFont="1" applyFill="1" applyBorder="1" applyAlignment="1">
      <alignment horizontal="center"/>
    </xf>
    <xf numFmtId="4" fontId="3" fillId="3" borderId="1" xfId="0" applyNumberFormat="1" applyFont="1" applyFill="1" applyBorder="1"/>
    <xf numFmtId="0" fontId="3" fillId="4" borderId="0" xfId="0" applyFont="1" applyFill="1"/>
    <xf numFmtId="4" fontId="3" fillId="4" borderId="0" xfId="0" applyNumberFormat="1" applyFont="1" applyFill="1" applyAlignment="1">
      <alignment horizontal="center"/>
    </xf>
    <xf numFmtId="0" fontId="4" fillId="4" borderId="1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horizontal="center" wrapText="1"/>
    </xf>
    <xf numFmtId="164" fontId="4" fillId="4" borderId="0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/>
    </xf>
    <xf numFmtId="166" fontId="4" fillId="4" borderId="1" xfId="0" applyNumberFormat="1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wrapText="1"/>
    </xf>
    <xf numFmtId="3" fontId="7" fillId="4" borderId="1" xfId="0" applyNumberFormat="1" applyFont="1" applyFill="1" applyBorder="1"/>
    <xf numFmtId="164" fontId="5" fillId="4" borderId="1" xfId="0" applyNumberFormat="1" applyFont="1" applyFill="1" applyBorder="1" applyAlignment="1">
      <alignment horizontal="center" wrapText="1"/>
    </xf>
    <xf numFmtId="164" fontId="5" fillId="4" borderId="0" xfId="0" applyNumberFormat="1" applyFont="1" applyFill="1" applyBorder="1" applyAlignment="1">
      <alignment horizontal="center" wrapText="1"/>
    </xf>
    <xf numFmtId="166" fontId="5" fillId="4" borderId="1" xfId="0" applyNumberFormat="1" applyFont="1" applyFill="1" applyBorder="1" applyAlignment="1">
      <alignment horizontal="center" wrapText="1"/>
    </xf>
    <xf numFmtId="4" fontId="7" fillId="4" borderId="1" xfId="0" applyNumberFormat="1" applyFont="1" applyFill="1" applyBorder="1" applyAlignment="1">
      <alignment horizontal="center"/>
    </xf>
    <xf numFmtId="4" fontId="5" fillId="4" borderId="1" xfId="0" applyNumberFormat="1" applyFont="1" applyFill="1" applyBorder="1" applyAlignment="1">
      <alignment horizontal="center" wrapText="1"/>
    </xf>
    <xf numFmtId="0" fontId="3" fillId="6" borderId="0" xfId="0" applyFont="1" applyFill="1"/>
    <xf numFmtId="4" fontId="3" fillId="6" borderId="0" xfId="0" applyNumberFormat="1" applyFont="1" applyFill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164" fontId="3" fillId="6" borderId="1" xfId="0" applyNumberFormat="1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3" fontId="7" fillId="6" borderId="1" xfId="0" applyNumberFormat="1" applyFont="1" applyFill="1" applyBorder="1"/>
    <xf numFmtId="0" fontId="1" fillId="6" borderId="1" xfId="0" applyFont="1" applyFill="1" applyBorder="1" applyAlignment="1">
      <alignment horizontal="center" vertical="top" wrapText="1"/>
    </xf>
    <xf numFmtId="165" fontId="4" fillId="6" borderId="1" xfId="0" applyNumberFormat="1" applyFont="1" applyFill="1" applyBorder="1" applyAlignment="1">
      <alignment vertical="top" wrapText="1"/>
    </xf>
    <xf numFmtId="49" fontId="4" fillId="6" borderId="1" xfId="0" applyNumberFormat="1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center" vertical="top"/>
    </xf>
    <xf numFmtId="164" fontId="4" fillId="6" borderId="1" xfId="0" applyNumberFormat="1" applyFont="1" applyFill="1" applyBorder="1" applyAlignment="1">
      <alignment horizontal="right"/>
    </xf>
    <xf numFmtId="164" fontId="6" fillId="6" borderId="1" xfId="0" applyNumberFormat="1" applyFont="1" applyFill="1" applyBorder="1"/>
    <xf numFmtId="4" fontId="6" fillId="6" borderId="1" xfId="0" applyNumberFormat="1" applyFont="1" applyFill="1" applyBorder="1"/>
    <xf numFmtId="0" fontId="1" fillId="6" borderId="0" xfId="0" applyFont="1" applyFill="1" applyAlignment="1">
      <alignment horizontal="center"/>
    </xf>
    <xf numFmtId="0" fontId="3" fillId="9" borderId="0" xfId="0" applyFont="1" applyFill="1"/>
    <xf numFmtId="4" fontId="3" fillId="9" borderId="0" xfId="0" applyNumberFormat="1" applyFont="1" applyFill="1" applyAlignment="1">
      <alignment horizontal="center"/>
    </xf>
    <xf numFmtId="0" fontId="1" fillId="9" borderId="1" xfId="0" applyFont="1" applyFill="1" applyBorder="1" applyAlignment="1">
      <alignment horizontal="center" vertical="top"/>
    </xf>
    <xf numFmtId="0" fontId="4" fillId="9" borderId="1" xfId="0" applyFont="1" applyFill="1" applyBorder="1" applyAlignment="1">
      <alignment vertical="top" wrapText="1"/>
    </xf>
    <xf numFmtId="164" fontId="4" fillId="9" borderId="1" xfId="0" applyNumberFormat="1" applyFont="1" applyFill="1" applyBorder="1" applyAlignment="1">
      <alignment horizontal="center" wrapText="1"/>
    </xf>
    <xf numFmtId="4" fontId="4" fillId="9" borderId="1" xfId="0" applyNumberFormat="1" applyFont="1" applyFill="1" applyBorder="1" applyAlignment="1">
      <alignment horizontal="center" wrapText="1"/>
    </xf>
    <xf numFmtId="4" fontId="3" fillId="9" borderId="0" xfId="0" applyNumberFormat="1" applyFont="1" applyFill="1"/>
    <xf numFmtId="164" fontId="3" fillId="9" borderId="1" xfId="0" applyNumberFormat="1" applyFont="1" applyFill="1" applyBorder="1" applyAlignment="1">
      <alignment horizontal="center"/>
    </xf>
    <xf numFmtId="166" fontId="3" fillId="9" borderId="1" xfId="0" applyNumberFormat="1" applyFont="1" applyFill="1" applyBorder="1" applyAlignment="1">
      <alignment horizontal="center"/>
    </xf>
    <xf numFmtId="4" fontId="3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164" fontId="4" fillId="9" borderId="1" xfId="0" applyNumberFormat="1" applyFont="1" applyFill="1" applyBorder="1" applyAlignment="1">
      <alignment horizontal="right"/>
    </xf>
    <xf numFmtId="164" fontId="6" fillId="9" borderId="1" xfId="0" applyNumberFormat="1" applyFont="1" applyFill="1" applyBorder="1"/>
    <xf numFmtId="4" fontId="6" fillId="9" borderId="1" xfId="0" applyNumberFormat="1" applyFont="1" applyFill="1" applyBorder="1"/>
    <xf numFmtId="0" fontId="3" fillId="10" borderId="0" xfId="0" applyFont="1" applyFill="1"/>
    <xf numFmtId="4" fontId="3" fillId="10" borderId="0" xfId="0" applyNumberFormat="1" applyFont="1" applyFill="1" applyAlignment="1">
      <alignment horizontal="center"/>
    </xf>
    <xf numFmtId="0" fontId="1" fillId="10" borderId="1" xfId="0" applyFont="1" applyFill="1" applyBorder="1" applyAlignment="1">
      <alignment horizontal="center" vertical="top" wrapText="1"/>
    </xf>
    <xf numFmtId="0" fontId="1" fillId="10" borderId="1" xfId="0" applyFont="1" applyFill="1" applyBorder="1" applyAlignment="1">
      <alignment horizontal="left" vertical="top" wrapText="1"/>
    </xf>
    <xf numFmtId="164" fontId="4" fillId="10" borderId="1" xfId="0" applyNumberFormat="1" applyFont="1" applyFill="1" applyBorder="1" applyAlignment="1">
      <alignment horizontal="center" wrapText="1"/>
    </xf>
    <xf numFmtId="4" fontId="4" fillId="10" borderId="1" xfId="0" applyNumberFormat="1" applyFont="1" applyFill="1" applyBorder="1" applyAlignment="1">
      <alignment horizontal="center" wrapText="1"/>
    </xf>
    <xf numFmtId="4" fontId="3" fillId="10" borderId="0" xfId="0" applyNumberFormat="1" applyFont="1" applyFill="1"/>
    <xf numFmtId="164" fontId="3" fillId="10" borderId="1" xfId="0" applyNumberFormat="1" applyFont="1" applyFill="1" applyBorder="1" applyAlignment="1">
      <alignment horizontal="center"/>
    </xf>
    <xf numFmtId="166" fontId="3" fillId="10" borderId="1" xfId="0" applyNumberFormat="1" applyFont="1" applyFill="1" applyBorder="1" applyAlignment="1">
      <alignment horizontal="center"/>
    </xf>
    <xf numFmtId="4" fontId="3" fillId="10" borderId="1" xfId="0" applyNumberFormat="1" applyFont="1" applyFill="1" applyBorder="1" applyAlignment="1">
      <alignment horizontal="center"/>
    </xf>
    <xf numFmtId="3" fontId="7" fillId="10" borderId="1" xfId="0" applyNumberFormat="1" applyFont="1" applyFill="1" applyBorder="1"/>
    <xf numFmtId="0" fontId="4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/>
    </xf>
    <xf numFmtId="49" fontId="4" fillId="10" borderId="1" xfId="0" applyNumberFormat="1" applyFont="1" applyFill="1" applyBorder="1" applyAlignment="1">
      <alignment vertical="top" wrapText="1"/>
    </xf>
    <xf numFmtId="0" fontId="4" fillId="10" borderId="0" xfId="0" applyFont="1" applyFill="1" applyAlignment="1">
      <alignment wrapText="1"/>
    </xf>
    <xf numFmtId="164" fontId="4" fillId="10" borderId="1" xfId="0" applyNumberFormat="1" applyFont="1" applyFill="1" applyBorder="1" applyAlignment="1">
      <alignment horizontal="right"/>
    </xf>
    <xf numFmtId="164" fontId="6" fillId="10" borderId="1" xfId="0" applyNumberFormat="1" applyFont="1" applyFill="1" applyBorder="1"/>
    <xf numFmtId="4" fontId="6" fillId="10" borderId="1" xfId="0" applyNumberFormat="1" applyFont="1" applyFill="1" applyBorder="1"/>
    <xf numFmtId="0" fontId="4" fillId="10" borderId="1" xfId="0" applyFont="1" applyFill="1" applyBorder="1" applyAlignment="1">
      <alignment horizontal="center"/>
    </xf>
    <xf numFmtId="4" fontId="3" fillId="10" borderId="2" xfId="0" applyNumberFormat="1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164" fontId="6" fillId="10" borderId="3" xfId="0" applyNumberFormat="1" applyFont="1" applyFill="1" applyBorder="1"/>
    <xf numFmtId="4" fontId="6" fillId="10" borderId="3" xfId="0" applyNumberFormat="1" applyFont="1" applyFill="1" applyBorder="1"/>
    <xf numFmtId="164" fontId="3" fillId="10" borderId="3" xfId="0" applyNumberFormat="1" applyFont="1" applyFill="1" applyBorder="1" applyAlignment="1">
      <alignment horizontal="center"/>
    </xf>
    <xf numFmtId="4" fontId="3" fillId="10" borderId="5" xfId="0" applyNumberFormat="1" applyFont="1" applyFill="1" applyBorder="1" applyAlignment="1">
      <alignment horizontal="center"/>
    </xf>
    <xf numFmtId="4" fontId="4" fillId="10" borderId="3" xfId="0" applyNumberFormat="1" applyFont="1" applyFill="1" applyBorder="1" applyAlignment="1">
      <alignment horizontal="center" wrapText="1"/>
    </xf>
    <xf numFmtId="3" fontId="7" fillId="10" borderId="0" xfId="0" applyNumberFormat="1" applyFont="1" applyFill="1"/>
    <xf numFmtId="0" fontId="1" fillId="10" borderId="1" xfId="0" applyFont="1" applyFill="1" applyBorder="1" applyAlignment="1">
      <alignment horizontal="justify" vertical="top" wrapText="1"/>
    </xf>
    <xf numFmtId="164" fontId="1" fillId="10" borderId="1" xfId="0" applyNumberFormat="1" applyFont="1" applyFill="1" applyBorder="1"/>
    <xf numFmtId="164" fontId="4" fillId="10" borderId="1" xfId="0" applyNumberFormat="1" applyFont="1" applyFill="1" applyBorder="1"/>
    <xf numFmtId="4" fontId="4" fillId="10" borderId="1" xfId="0" applyNumberFormat="1" applyFont="1" applyFill="1" applyBorder="1"/>
    <xf numFmtId="4" fontId="3" fillId="10" borderId="1" xfId="0" applyNumberFormat="1" applyFont="1" applyFill="1" applyBorder="1"/>
    <xf numFmtId="0" fontId="3" fillId="11" borderId="0" xfId="0" applyFont="1" applyFill="1"/>
    <xf numFmtId="4" fontId="3" fillId="11" borderId="0" xfId="0" applyNumberFormat="1" applyFont="1" applyFill="1" applyAlignment="1">
      <alignment horizontal="center"/>
    </xf>
    <xf numFmtId="0" fontId="1" fillId="11" borderId="1" xfId="0" applyFont="1" applyFill="1" applyBorder="1" applyAlignment="1">
      <alignment horizontal="center" vertical="top" wrapText="1"/>
    </xf>
    <xf numFmtId="49" fontId="4" fillId="11" borderId="1" xfId="0" applyNumberFormat="1" applyFont="1" applyFill="1" applyBorder="1" applyAlignment="1">
      <alignment vertical="top" wrapText="1"/>
    </xf>
    <xf numFmtId="164" fontId="4" fillId="11" borderId="1" xfId="0" applyNumberFormat="1" applyFont="1" applyFill="1" applyBorder="1" applyAlignment="1">
      <alignment horizontal="center" wrapText="1"/>
    </xf>
    <xf numFmtId="4" fontId="4" fillId="11" borderId="1" xfId="0" applyNumberFormat="1" applyFont="1" applyFill="1" applyBorder="1" applyAlignment="1">
      <alignment horizontal="center" wrapText="1"/>
    </xf>
    <xf numFmtId="4" fontId="3" fillId="11" borderId="0" xfId="0" applyNumberFormat="1" applyFont="1" applyFill="1"/>
    <xf numFmtId="164" fontId="3" fillId="11" borderId="1" xfId="0" applyNumberFormat="1" applyFont="1" applyFill="1" applyBorder="1" applyAlignment="1">
      <alignment horizontal="center"/>
    </xf>
    <xf numFmtId="166" fontId="3" fillId="11" borderId="1" xfId="0" applyNumberFormat="1" applyFont="1" applyFill="1" applyBorder="1" applyAlignment="1">
      <alignment horizontal="center"/>
    </xf>
    <xf numFmtId="4" fontId="3" fillId="11" borderId="1" xfId="0" applyNumberFormat="1" applyFont="1" applyFill="1" applyBorder="1" applyAlignment="1">
      <alignment horizontal="center"/>
    </xf>
    <xf numFmtId="3" fontId="7" fillId="11" borderId="1" xfId="0" applyNumberFormat="1" applyFont="1" applyFill="1" applyBorder="1"/>
    <xf numFmtId="0" fontId="4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/>
    </xf>
    <xf numFmtId="164" fontId="4" fillId="11" borderId="1" xfId="0" applyNumberFormat="1" applyFont="1" applyFill="1" applyBorder="1" applyAlignment="1">
      <alignment horizontal="right"/>
    </xf>
    <xf numFmtId="164" fontId="6" fillId="11" borderId="1" xfId="0" applyNumberFormat="1" applyFont="1" applyFill="1" applyBorder="1"/>
    <xf numFmtId="4" fontId="6" fillId="11" borderId="1" xfId="0" applyNumberFormat="1" applyFont="1" applyFill="1" applyBorder="1"/>
    <xf numFmtId="0" fontId="1" fillId="11" borderId="1" xfId="0" applyFont="1" applyFill="1" applyBorder="1" applyAlignment="1">
      <alignment horizontal="justify" vertical="top" wrapText="1"/>
    </xf>
    <xf numFmtId="164" fontId="1" fillId="11" borderId="1" xfId="0" applyNumberFormat="1" applyFont="1" applyFill="1" applyBorder="1"/>
    <xf numFmtId="164" fontId="4" fillId="11" borderId="1" xfId="0" applyNumberFormat="1" applyFont="1" applyFill="1" applyBorder="1"/>
    <xf numFmtId="4" fontId="4" fillId="11" borderId="1" xfId="0" applyNumberFormat="1" applyFont="1" applyFill="1" applyBorder="1"/>
    <xf numFmtId="4" fontId="3" fillId="11" borderId="1" xfId="0" applyNumberFormat="1" applyFont="1" applyFill="1" applyBorder="1"/>
    <xf numFmtId="0" fontId="3" fillId="13" borderId="0" xfId="0" applyFont="1" applyFill="1"/>
    <xf numFmtId="4" fontId="3" fillId="13" borderId="0" xfId="0" applyNumberFormat="1" applyFont="1" applyFill="1" applyAlignment="1">
      <alignment horizontal="center"/>
    </xf>
    <xf numFmtId="0" fontId="1" fillId="13" borderId="1" xfId="0" applyFont="1" applyFill="1" applyBorder="1" applyAlignment="1">
      <alignment horizontal="center" vertical="top" wrapText="1"/>
    </xf>
    <xf numFmtId="0" fontId="1" fillId="13" borderId="1" xfId="0" applyFont="1" applyFill="1" applyBorder="1" applyAlignment="1">
      <alignment horizontal="justify" vertical="top" wrapText="1"/>
    </xf>
    <xf numFmtId="164" fontId="6" fillId="13" borderId="1" xfId="0" applyNumberFormat="1" applyFont="1" applyFill="1" applyBorder="1"/>
    <xf numFmtId="4" fontId="6" fillId="13" borderId="1" xfId="0" applyNumberFormat="1" applyFont="1" applyFill="1" applyBorder="1"/>
    <xf numFmtId="4" fontId="3" fillId="13" borderId="1" xfId="0" applyNumberFormat="1" applyFont="1" applyFill="1" applyBorder="1"/>
    <xf numFmtId="164" fontId="3" fillId="13" borderId="1" xfId="0" applyNumberFormat="1" applyFont="1" applyFill="1" applyBorder="1" applyAlignment="1">
      <alignment horizontal="center"/>
    </xf>
    <xf numFmtId="4" fontId="3" fillId="13" borderId="1" xfId="0" applyNumberFormat="1" applyFont="1" applyFill="1" applyBorder="1" applyAlignment="1">
      <alignment horizontal="center"/>
    </xf>
    <xf numFmtId="4" fontId="4" fillId="13" borderId="1" xfId="0" applyNumberFormat="1" applyFont="1" applyFill="1" applyBorder="1" applyAlignment="1">
      <alignment horizontal="center" wrapText="1"/>
    </xf>
    <xf numFmtId="3" fontId="7" fillId="13" borderId="1" xfId="0" applyNumberFormat="1" applyFont="1" applyFill="1" applyBorder="1"/>
    <xf numFmtId="0" fontId="1" fillId="13" borderId="1" xfId="0" applyFont="1" applyFill="1" applyBorder="1" applyAlignment="1">
      <alignment horizontal="center" vertical="top"/>
    </xf>
    <xf numFmtId="49" fontId="4" fillId="13" borderId="1" xfId="0" applyNumberFormat="1" applyFont="1" applyFill="1" applyBorder="1" applyAlignment="1">
      <alignment vertical="top" wrapText="1"/>
    </xf>
    <xf numFmtId="0" fontId="4" fillId="13" borderId="1" xfId="0" applyFont="1" applyFill="1" applyBorder="1" applyAlignment="1">
      <alignment vertical="top" wrapText="1"/>
    </xf>
    <xf numFmtId="164" fontId="4" fillId="13" borderId="1" xfId="0" applyNumberFormat="1" applyFont="1" applyFill="1" applyBorder="1" applyAlignment="1">
      <alignment horizontal="right"/>
    </xf>
    <xf numFmtId="4" fontId="3" fillId="13" borderId="0" xfId="0" applyNumberFormat="1" applyFont="1" applyFill="1"/>
    <xf numFmtId="166" fontId="3" fillId="13" borderId="1" xfId="0" applyNumberFormat="1" applyFont="1" applyFill="1" applyBorder="1" applyAlignment="1">
      <alignment horizontal="center"/>
    </xf>
    <xf numFmtId="164" fontId="4" fillId="13" borderId="1" xfId="0" applyNumberFormat="1" applyFont="1" applyFill="1" applyBorder="1" applyAlignment="1">
      <alignment horizontal="center" wrapText="1"/>
    </xf>
    <xf numFmtId="0" fontId="4" fillId="13" borderId="1" xfId="0" applyFont="1" applyFill="1" applyBorder="1" applyAlignment="1">
      <alignment wrapText="1"/>
    </xf>
    <xf numFmtId="0" fontId="4" fillId="13" borderId="0" xfId="0" applyFont="1" applyFill="1" applyAlignment="1">
      <alignment wrapText="1"/>
    </xf>
    <xf numFmtId="164" fontId="4" fillId="13" borderId="0" xfId="0" applyNumberFormat="1" applyFont="1" applyFill="1" applyBorder="1" applyAlignment="1">
      <alignment horizontal="center" wrapText="1"/>
    </xf>
    <xf numFmtId="166" fontId="4" fillId="13" borderId="1" xfId="0" applyNumberFormat="1" applyFont="1" applyFill="1" applyBorder="1" applyAlignment="1">
      <alignment horizontal="center" wrapText="1"/>
    </xf>
    <xf numFmtId="0" fontId="1" fillId="12" borderId="1" xfId="0" applyFont="1" applyFill="1" applyBorder="1" applyAlignment="1">
      <alignment horizontal="center" vertical="top" wrapText="1"/>
    </xf>
    <xf numFmtId="0" fontId="1" fillId="12" borderId="1" xfId="0" applyFont="1" applyFill="1" applyBorder="1" applyAlignment="1">
      <alignment horizontal="justify" vertical="top" wrapText="1"/>
    </xf>
    <xf numFmtId="4" fontId="4" fillId="12" borderId="1" xfId="0" applyNumberFormat="1" applyFont="1" applyFill="1" applyBorder="1" applyAlignment="1">
      <alignment horizontal="center" wrapText="1"/>
    </xf>
    <xf numFmtId="3" fontId="7" fillId="12" borderId="1" xfId="0" applyNumberFormat="1" applyFont="1" applyFill="1" applyBorder="1"/>
    <xf numFmtId="4" fontId="5" fillId="5" borderId="2" xfId="0" applyNumberFormat="1" applyFont="1" applyFill="1" applyBorder="1" applyAlignment="1">
      <alignment horizontal="center" wrapText="1"/>
    </xf>
    <xf numFmtId="0" fontId="4" fillId="10" borderId="1" xfId="0" applyFont="1" applyFill="1" applyBorder="1" applyAlignment="1">
      <alignment horizontal="center" wrapText="1"/>
    </xf>
    <xf numFmtId="164" fontId="8" fillId="10" borderId="1" xfId="0" applyNumberFormat="1" applyFont="1" applyFill="1" applyBorder="1"/>
    <xf numFmtId="4" fontId="8" fillId="10" borderId="1" xfId="0" applyNumberFormat="1" applyFont="1" applyFill="1" applyBorder="1"/>
    <xf numFmtId="4" fontId="7" fillId="10" borderId="0" xfId="0" applyNumberFormat="1" applyFont="1" applyFill="1"/>
    <xf numFmtId="164" fontId="7" fillId="10" borderId="1" xfId="0" applyNumberFormat="1" applyFont="1" applyFill="1" applyBorder="1" applyAlignment="1">
      <alignment horizontal="center"/>
    </xf>
    <xf numFmtId="166" fontId="7" fillId="10" borderId="1" xfId="0" applyNumberFormat="1" applyFont="1" applyFill="1" applyBorder="1" applyAlignment="1">
      <alignment horizontal="center"/>
    </xf>
    <xf numFmtId="4" fontId="7" fillId="10" borderId="1" xfId="0" applyNumberFormat="1" applyFont="1" applyFill="1" applyBorder="1" applyAlignment="1">
      <alignment horizontal="center"/>
    </xf>
    <xf numFmtId="4" fontId="7" fillId="10" borderId="2" xfId="0" applyNumberFormat="1" applyFont="1" applyFill="1" applyBorder="1" applyAlignment="1">
      <alignment horizontal="center"/>
    </xf>
    <xf numFmtId="4" fontId="5" fillId="10" borderId="1" xfId="0" applyNumberFormat="1" applyFont="1" applyFill="1" applyBorder="1" applyAlignment="1">
      <alignment horizontal="center" wrapText="1"/>
    </xf>
    <xf numFmtId="3" fontId="5" fillId="10" borderId="1" xfId="0" applyNumberFormat="1" applyFont="1" applyFill="1" applyBorder="1" applyAlignment="1">
      <alignment horizontal="center" wrapText="1"/>
    </xf>
    <xf numFmtId="4" fontId="4" fillId="5" borderId="2" xfId="0" applyNumberFormat="1" applyFont="1" applyFill="1" applyBorder="1" applyAlignment="1">
      <alignment horizontal="center" wrapText="1"/>
    </xf>
    <xf numFmtId="0" fontId="7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top" wrapText="1"/>
    </xf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3" fontId="5" fillId="5" borderId="1" xfId="0" applyNumberFormat="1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vertical="top"/>
    </xf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49" fontId="4" fillId="4" borderId="1" xfId="0" applyNumberFormat="1" applyFont="1" applyFill="1" applyBorder="1" applyAlignment="1">
      <alignment vertical="top" wrapText="1"/>
    </xf>
    <xf numFmtId="166" fontId="3" fillId="4" borderId="1" xfId="0" applyNumberFormat="1" applyFont="1" applyFill="1" applyBorder="1" applyAlignment="1">
      <alignment horizontal="center"/>
    </xf>
    <xf numFmtId="165" fontId="4" fillId="13" borderId="1" xfId="0" applyNumberFormat="1" applyFont="1" applyFill="1" applyBorder="1" applyAlignment="1">
      <alignment vertical="top" wrapText="1"/>
    </xf>
    <xf numFmtId="4" fontId="3" fillId="12" borderId="1" xfId="0" applyNumberFormat="1" applyFont="1" applyFill="1" applyBorder="1" applyAlignment="1">
      <alignment horizontal="center"/>
    </xf>
    <xf numFmtId="4" fontId="4" fillId="14" borderId="1" xfId="0" applyNumberFormat="1" applyFont="1" applyFill="1" applyBorder="1" applyAlignment="1">
      <alignment horizontal="center" wrapText="1"/>
    </xf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3" fillId="5" borderId="0" xfId="0" applyFont="1" applyFill="1" applyAlignment="1">
      <alignment wrapText="1"/>
    </xf>
    <xf numFmtId="4" fontId="5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1" fillId="5" borderId="0" xfId="0" applyFont="1" applyFill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" fillId="5" borderId="1" xfId="0" applyFont="1" applyFill="1" applyBorder="1" applyAlignment="1">
      <alignment horizontal="left" wrapText="1"/>
    </xf>
  </cellXfs>
  <cellStyles count="2">
    <cellStyle name="xl3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67"/>
  <sheetViews>
    <sheetView workbookViewId="0">
      <pane xSplit="7" ySplit="4" topLeftCell="H29" activePane="bottomRight" state="frozen"/>
      <selection pane="topRight" activeCell="H1" sqref="H1"/>
      <selection pane="bottomLeft" activeCell="A5" sqref="A5"/>
      <selection pane="bottomRight" sqref="A1:H54"/>
    </sheetView>
  </sheetViews>
  <sheetFormatPr defaultColWidth="8.85546875" defaultRowHeight="15"/>
  <cols>
    <col min="1" max="1" width="23" style="3" customWidth="1"/>
    <col min="2" max="2" width="55.140625" style="3" customWidth="1"/>
    <col min="3" max="3" width="17.85546875" style="3" hidden="1" customWidth="1"/>
    <col min="4" max="4" width="16.140625" style="3" hidden="1" customWidth="1"/>
    <col min="5" max="5" width="18.5703125" style="3" hidden="1" customWidth="1"/>
    <col min="6" max="6" width="11.7109375" style="3" hidden="1" customWidth="1"/>
    <col min="7" max="7" width="11" style="3" hidden="1" customWidth="1"/>
    <col min="8" max="10" width="14.28515625" style="3" customWidth="1"/>
    <col min="11" max="14" width="14.28515625" style="3" hidden="1" customWidth="1"/>
    <col min="15" max="15" width="8.85546875" style="3"/>
    <col min="16" max="16" width="13.140625" style="3" customWidth="1"/>
    <col min="17" max="17" width="14.7109375" style="3" customWidth="1"/>
    <col min="18" max="18" width="13.140625" style="3" customWidth="1"/>
    <col min="19" max="19" width="15.28515625" style="3" customWidth="1"/>
    <col min="20" max="20" width="13.140625" style="3" customWidth="1"/>
    <col min="21" max="21" width="15.28515625" style="3" customWidth="1"/>
    <col min="22" max="16384" width="8.85546875" style="3"/>
  </cols>
  <sheetData>
    <row r="1" spans="1:21" ht="12" customHeight="1">
      <c r="A1" s="398" t="s">
        <v>0</v>
      </c>
      <c r="B1" s="398"/>
      <c r="C1" s="398"/>
      <c r="D1" s="398"/>
      <c r="E1" s="398"/>
    </row>
    <row r="2" spans="1:21" ht="12" customHeight="1">
      <c r="A2" s="398" t="s">
        <v>1</v>
      </c>
      <c r="B2" s="398"/>
      <c r="C2" s="398"/>
      <c r="D2" s="398"/>
      <c r="E2" s="398"/>
    </row>
    <row r="3" spans="1:21" ht="12" customHeight="1">
      <c r="A3" s="398" t="s">
        <v>110</v>
      </c>
      <c r="B3" s="398"/>
      <c r="C3" s="398"/>
      <c r="D3" s="398"/>
      <c r="E3" s="398"/>
      <c r="P3" s="3" t="s">
        <v>96</v>
      </c>
    </row>
    <row r="4" spans="1:21" ht="26.25">
      <c r="A4" s="4" t="s">
        <v>74</v>
      </c>
      <c r="B4" s="4" t="s">
        <v>2</v>
      </c>
      <c r="C4" s="4" t="s">
        <v>34</v>
      </c>
      <c r="D4" s="5" t="s">
        <v>17</v>
      </c>
      <c r="E4" s="5" t="s">
        <v>35</v>
      </c>
      <c r="H4" s="48" t="s">
        <v>90</v>
      </c>
      <c r="I4" s="48" t="s">
        <v>97</v>
      </c>
      <c r="J4" s="48" t="s">
        <v>91</v>
      </c>
      <c r="K4" s="48" t="s">
        <v>92</v>
      </c>
      <c r="L4" s="48" t="s">
        <v>93</v>
      </c>
      <c r="M4" s="48" t="s">
        <v>94</v>
      </c>
      <c r="N4" s="48" t="s">
        <v>95</v>
      </c>
      <c r="P4" s="62" t="s">
        <v>79</v>
      </c>
      <c r="Q4" s="8" t="s">
        <v>80</v>
      </c>
      <c r="R4" s="62" t="s">
        <v>81</v>
      </c>
      <c r="S4" s="8" t="s">
        <v>82</v>
      </c>
      <c r="T4" s="62" t="s">
        <v>83</v>
      </c>
      <c r="U4" s="8" t="s">
        <v>84</v>
      </c>
    </row>
    <row r="5" spans="1:21">
      <c r="A5" s="1" t="s">
        <v>57</v>
      </c>
      <c r="B5" s="41" t="s">
        <v>58</v>
      </c>
      <c r="C5" s="14">
        <f t="shared" ref="C5:G5" si="0">C6-C54</f>
        <v>860978.1</v>
      </c>
      <c r="D5" s="14">
        <f t="shared" si="0"/>
        <v>360</v>
      </c>
      <c r="E5" s="14">
        <f t="shared" si="0"/>
        <v>860978084.66999996</v>
      </c>
      <c r="F5" s="14">
        <f t="shared" si="0"/>
        <v>828462.58061999991</v>
      </c>
      <c r="G5" s="14">
        <f t="shared" si="0"/>
        <v>8.0620000002749492E-2</v>
      </c>
      <c r="H5" s="23">
        <f>H6+H54</f>
        <v>933436.12</v>
      </c>
      <c r="I5" s="23">
        <f>I6+I54</f>
        <v>63062.76</v>
      </c>
      <c r="J5" s="65">
        <f t="shared" ref="J5:J6" si="1">P5+Q5</f>
        <v>933436104.13000011</v>
      </c>
      <c r="K5" s="23">
        <f>K6-K54</f>
        <v>761460.2</v>
      </c>
      <c r="L5" s="23">
        <f>L6-L54</f>
        <v>761460229.07000005</v>
      </c>
      <c r="M5" s="23">
        <f>M6-M54</f>
        <v>843308.6</v>
      </c>
      <c r="N5" s="23">
        <f>N6-N54</f>
        <v>843408631.75999999</v>
      </c>
      <c r="O5" s="6"/>
      <c r="P5" s="23">
        <f t="shared" ref="P5:U5" si="2">P6+P54</f>
        <v>62067726.200000003</v>
      </c>
      <c r="Q5" s="23">
        <f t="shared" si="2"/>
        <v>871368377.93000007</v>
      </c>
      <c r="R5" s="23">
        <f t="shared" si="2"/>
        <v>36790252.969999999</v>
      </c>
      <c r="S5" s="23">
        <f t="shared" si="2"/>
        <v>723669976.10000002</v>
      </c>
      <c r="T5" s="23">
        <f t="shared" si="2"/>
        <v>45016211.280000001</v>
      </c>
      <c r="U5" s="23">
        <f t="shared" si="2"/>
        <v>798392420.48000002</v>
      </c>
    </row>
    <row r="6" spans="1:21" ht="24">
      <c r="A6" s="1" t="s">
        <v>22</v>
      </c>
      <c r="B6" s="36" t="s">
        <v>23</v>
      </c>
      <c r="C6" s="14">
        <f>C10+C34+C53+C7+C54</f>
        <v>864721.7</v>
      </c>
      <c r="D6" s="14">
        <f>D10+D34+D53+D7+D54</f>
        <v>360</v>
      </c>
      <c r="E6" s="14">
        <f>E10+E34+E53+E7+E54</f>
        <v>864721718.66999996</v>
      </c>
      <c r="F6" s="14">
        <f>F10+F34+F53+F7+F54</f>
        <v>832206.21461999987</v>
      </c>
      <c r="G6" s="14">
        <f>G10+G34+G53+G7+G54</f>
        <v>0.11462000000285499</v>
      </c>
      <c r="H6" s="23">
        <f>H10+H34+H53+H7+H51</f>
        <v>908436.12</v>
      </c>
      <c r="I6" s="23">
        <f>I10+I34+I53+I7+I51</f>
        <v>38062.76</v>
      </c>
      <c r="J6" s="65">
        <f t="shared" si="1"/>
        <v>908436104.13000011</v>
      </c>
      <c r="K6" s="23">
        <f t="shared" ref="K6:N6" si="3">K10+K34+K53+K7+K54+K52</f>
        <v>761460.2</v>
      </c>
      <c r="L6" s="23">
        <f t="shared" si="3"/>
        <v>761460229.07000005</v>
      </c>
      <c r="M6" s="23">
        <f t="shared" si="3"/>
        <v>843308.6</v>
      </c>
      <c r="N6" s="23">
        <f t="shared" si="3"/>
        <v>843408631.75999999</v>
      </c>
      <c r="O6" s="6"/>
      <c r="P6" s="23">
        <f t="shared" ref="P6:U6" si="4">P10+P34+P53+P7+P51</f>
        <v>62067726.200000003</v>
      </c>
      <c r="Q6" s="23">
        <f t="shared" si="4"/>
        <v>846368377.93000007</v>
      </c>
      <c r="R6" s="23">
        <f t="shared" si="4"/>
        <v>36790252.969999999</v>
      </c>
      <c r="S6" s="23">
        <f t="shared" si="4"/>
        <v>723669976.10000002</v>
      </c>
      <c r="T6" s="23">
        <f t="shared" si="4"/>
        <v>45016211.280000001</v>
      </c>
      <c r="U6" s="23">
        <f t="shared" si="4"/>
        <v>798392420.48000002</v>
      </c>
    </row>
    <row r="7" spans="1:21">
      <c r="A7" s="37" t="s">
        <v>36</v>
      </c>
      <c r="B7" s="9" t="s">
        <v>26</v>
      </c>
      <c r="C7" s="15">
        <f>C9</f>
        <v>34649</v>
      </c>
      <c r="D7" s="15">
        <f>D9</f>
        <v>0</v>
      </c>
      <c r="E7" s="15">
        <f>E9</f>
        <v>34649000</v>
      </c>
      <c r="F7" s="15">
        <f>F9</f>
        <v>34649</v>
      </c>
      <c r="G7" s="15">
        <f>G9</f>
        <v>0</v>
      </c>
      <c r="H7" s="24">
        <f>H9+H8</f>
        <v>23423</v>
      </c>
      <c r="I7" s="24">
        <f t="shared" ref="I7:M7" si="5">I9+I8</f>
        <v>0</v>
      </c>
      <c r="J7" s="65">
        <f>P7+Q7</f>
        <v>23423000</v>
      </c>
      <c r="K7" s="24">
        <f t="shared" si="5"/>
        <v>0</v>
      </c>
      <c r="L7" s="65">
        <f t="shared" ref="L7:L17" si="6">R7+S7</f>
        <v>0</v>
      </c>
      <c r="M7" s="24">
        <f t="shared" si="5"/>
        <v>0</v>
      </c>
      <c r="N7" s="65">
        <f t="shared" ref="N7:N17" si="7">T7+U7</f>
        <v>0</v>
      </c>
      <c r="O7" s="6" t="s">
        <v>61</v>
      </c>
      <c r="P7" s="24">
        <f t="shared" ref="P7:U7" si="8">P9+P8</f>
        <v>0</v>
      </c>
      <c r="Q7" s="24">
        <f t="shared" si="8"/>
        <v>23423000</v>
      </c>
      <c r="R7" s="24">
        <f t="shared" si="8"/>
        <v>0</v>
      </c>
      <c r="S7" s="24">
        <f t="shared" si="8"/>
        <v>0</v>
      </c>
      <c r="T7" s="24">
        <f t="shared" si="8"/>
        <v>0</v>
      </c>
      <c r="U7" s="24">
        <f t="shared" si="8"/>
        <v>0</v>
      </c>
    </row>
    <row r="8" spans="1:21" ht="24" customHeight="1">
      <c r="A8" s="37" t="s">
        <v>76</v>
      </c>
      <c r="B8" s="85" t="s">
        <v>101</v>
      </c>
      <c r="C8" s="15"/>
      <c r="D8" s="15"/>
      <c r="E8" s="15"/>
      <c r="F8" s="58"/>
      <c r="G8" s="58"/>
      <c r="H8" s="68">
        <v>1186</v>
      </c>
      <c r="I8" s="68"/>
      <c r="J8" s="68">
        <f>P8+Q8</f>
        <v>1186000</v>
      </c>
      <c r="K8" s="24"/>
      <c r="L8" s="65">
        <f t="shared" si="6"/>
        <v>0</v>
      </c>
      <c r="M8" s="24"/>
      <c r="N8" s="65">
        <f t="shared" si="7"/>
        <v>0</v>
      </c>
      <c r="O8" s="6"/>
      <c r="P8" s="63"/>
      <c r="Q8" s="68">
        <v>1186000</v>
      </c>
      <c r="R8" s="63"/>
      <c r="S8" s="63"/>
      <c r="T8" s="63"/>
      <c r="U8" s="63"/>
    </row>
    <row r="9" spans="1:21" ht="25.5">
      <c r="A9" s="59" t="s">
        <v>77</v>
      </c>
      <c r="B9" s="87" t="s">
        <v>102</v>
      </c>
      <c r="C9" s="16">
        <f>9649+25000</f>
        <v>34649</v>
      </c>
      <c r="D9" s="16"/>
      <c r="E9" s="25">
        <f>9649000+25000000</f>
        <v>34649000</v>
      </c>
      <c r="F9" s="6">
        <f t="shared" ref="F9:F54" si="9">E9/1000</f>
        <v>34649</v>
      </c>
      <c r="G9" s="6">
        <f t="shared" ref="G9:G54" si="10">F9-C9</f>
        <v>0</v>
      </c>
      <c r="H9" s="68">
        <f>19600+637+2000</f>
        <v>22237</v>
      </c>
      <c r="I9" s="68"/>
      <c r="J9" s="68">
        <f>P9+Q9</f>
        <v>22237000</v>
      </c>
      <c r="K9" s="65">
        <v>0</v>
      </c>
      <c r="L9" s="65">
        <f t="shared" si="6"/>
        <v>0</v>
      </c>
      <c r="M9" s="65">
        <v>0</v>
      </c>
      <c r="N9" s="65">
        <f t="shared" si="7"/>
        <v>0</v>
      </c>
      <c r="O9" s="6"/>
      <c r="P9" s="63"/>
      <c r="Q9" s="65">
        <f>637000+19600000+2000000</f>
        <v>22237000</v>
      </c>
      <c r="R9" s="63"/>
      <c r="S9" s="63"/>
      <c r="T9" s="63"/>
      <c r="U9" s="63"/>
    </row>
    <row r="10" spans="1:21" ht="24">
      <c r="A10" s="38" t="s">
        <v>37</v>
      </c>
      <c r="B10" s="39" t="s">
        <v>25</v>
      </c>
      <c r="C10" s="17">
        <f t="shared" ref="C10:I10" si="11">SUM(C11:C22)</f>
        <v>99365.099999999991</v>
      </c>
      <c r="D10" s="17">
        <f t="shared" si="11"/>
        <v>0</v>
      </c>
      <c r="E10" s="17">
        <f t="shared" si="11"/>
        <v>99365090.670000002</v>
      </c>
      <c r="F10" s="17">
        <f t="shared" si="11"/>
        <v>66849.586620000002</v>
      </c>
      <c r="G10" s="17">
        <f t="shared" si="11"/>
        <v>8.6620000003062358E-2</v>
      </c>
      <c r="H10" s="17">
        <f>SUM(H11:H22)</f>
        <v>97614.13</v>
      </c>
      <c r="I10" s="26">
        <f t="shared" si="11"/>
        <v>25604.760000000002</v>
      </c>
      <c r="J10" s="65">
        <f>P10+Q10</f>
        <v>97614104.790000007</v>
      </c>
      <c r="K10" s="26">
        <f>SUM(K11:K22)</f>
        <v>60210.200000000004</v>
      </c>
      <c r="L10" s="65">
        <f t="shared" si="6"/>
        <v>60210229.07</v>
      </c>
      <c r="M10" s="26">
        <f>SUM(M11:M22)</f>
        <v>68813.600000000006</v>
      </c>
      <c r="N10" s="65">
        <f t="shared" si="7"/>
        <v>68913631.760000005</v>
      </c>
      <c r="O10" s="6"/>
      <c r="P10" s="26">
        <f t="shared" ref="P10:U10" si="12">SUM(P11:P22)</f>
        <v>46067367.200000003</v>
      </c>
      <c r="Q10" s="26">
        <f t="shared" si="12"/>
        <v>51546737.590000004</v>
      </c>
      <c r="R10" s="26">
        <f t="shared" si="12"/>
        <v>33091252.969999999</v>
      </c>
      <c r="S10" s="26">
        <f t="shared" si="12"/>
        <v>27118976.100000001</v>
      </c>
      <c r="T10" s="26">
        <f t="shared" si="12"/>
        <v>41621211.280000001</v>
      </c>
      <c r="U10" s="26">
        <f t="shared" si="12"/>
        <v>27292420.48</v>
      </c>
    </row>
    <row r="11" spans="1:21" ht="46.9" customHeight="1">
      <c r="A11" s="45" t="s">
        <v>66</v>
      </c>
      <c r="B11" s="87" t="s">
        <v>98</v>
      </c>
      <c r="C11" s="18">
        <v>29411</v>
      </c>
      <c r="D11" s="19"/>
      <c r="E11" s="27">
        <v>29411000</v>
      </c>
      <c r="F11" s="6">
        <f t="shared" si="9"/>
        <v>29411</v>
      </c>
      <c r="G11" s="6">
        <f t="shared" si="10"/>
        <v>0</v>
      </c>
      <c r="H11" s="68">
        <v>23860</v>
      </c>
      <c r="I11" s="68"/>
      <c r="J11" s="68">
        <f>P11+Q11</f>
        <v>23860000</v>
      </c>
      <c r="K11" s="65">
        <v>18000</v>
      </c>
      <c r="L11" s="65">
        <f t="shared" si="6"/>
        <v>18000000</v>
      </c>
      <c r="M11" s="65">
        <v>18000</v>
      </c>
      <c r="N11" s="65">
        <f t="shared" si="7"/>
        <v>18000000</v>
      </c>
      <c r="O11" s="6" t="s">
        <v>62</v>
      </c>
      <c r="P11" s="63"/>
      <c r="Q11" s="68">
        <v>23860000</v>
      </c>
      <c r="R11" s="63"/>
      <c r="S11" s="65">
        <v>18000000</v>
      </c>
      <c r="T11" s="63"/>
      <c r="U11" s="65">
        <v>18000000</v>
      </c>
    </row>
    <row r="12" spans="1:21" ht="90" hidden="1" customHeight="1">
      <c r="A12" s="54" t="s">
        <v>51</v>
      </c>
      <c r="B12" s="55" t="s">
        <v>52</v>
      </c>
      <c r="C12" s="18">
        <v>30453.9</v>
      </c>
      <c r="D12" s="19"/>
      <c r="E12" s="27">
        <v>30453878.91</v>
      </c>
      <c r="F12" s="6"/>
      <c r="G12" s="6"/>
      <c r="H12" s="65"/>
      <c r="I12" s="65"/>
      <c r="J12" s="65">
        <f t="shared" ref="J12:J17" si="13">P12+Q12</f>
        <v>0</v>
      </c>
      <c r="K12" s="65"/>
      <c r="L12" s="65">
        <f t="shared" si="6"/>
        <v>0</v>
      </c>
      <c r="M12" s="65"/>
      <c r="N12" s="65">
        <f t="shared" si="7"/>
        <v>0</v>
      </c>
      <c r="O12" s="6"/>
      <c r="P12" s="63"/>
      <c r="Q12" s="63"/>
      <c r="R12" s="63"/>
      <c r="S12" s="63"/>
      <c r="T12" s="63"/>
      <c r="U12" s="63"/>
    </row>
    <row r="13" spans="1:21" ht="69.599999999999994" hidden="1" customHeight="1">
      <c r="A13" s="54" t="s">
        <v>53</v>
      </c>
      <c r="B13" s="55" t="s">
        <v>54</v>
      </c>
      <c r="C13" s="18">
        <v>212.2</v>
      </c>
      <c r="D13" s="19"/>
      <c r="E13" s="27">
        <v>212168.14</v>
      </c>
      <c r="F13" s="6"/>
      <c r="G13" s="6"/>
      <c r="H13" s="65"/>
      <c r="I13" s="65"/>
      <c r="J13" s="65">
        <f t="shared" si="13"/>
        <v>0</v>
      </c>
      <c r="K13" s="65"/>
      <c r="L13" s="65">
        <f t="shared" si="6"/>
        <v>0</v>
      </c>
      <c r="M13" s="65"/>
      <c r="N13" s="65">
        <f t="shared" si="7"/>
        <v>0</v>
      </c>
      <c r="O13" s="6"/>
      <c r="P13" s="63"/>
      <c r="Q13" s="63"/>
      <c r="R13" s="63"/>
      <c r="S13" s="63"/>
      <c r="T13" s="63"/>
      <c r="U13" s="63"/>
    </row>
    <row r="14" spans="1:21" ht="40.9" customHeight="1">
      <c r="A14" s="45" t="s">
        <v>68</v>
      </c>
      <c r="B14" s="88" t="s">
        <v>69</v>
      </c>
      <c r="C14" s="32"/>
      <c r="D14" s="27"/>
      <c r="E14" s="27"/>
      <c r="F14" s="6"/>
      <c r="G14" s="6"/>
      <c r="H14" s="65"/>
      <c r="I14" s="65"/>
      <c r="J14" s="65">
        <f t="shared" si="13"/>
        <v>0</v>
      </c>
      <c r="K14" s="68">
        <v>2125.8000000000002</v>
      </c>
      <c r="L14" s="68">
        <f t="shared" si="6"/>
        <v>2125794</v>
      </c>
      <c r="M14" s="65"/>
      <c r="N14" s="65">
        <f t="shared" si="7"/>
        <v>0</v>
      </c>
      <c r="O14" s="6" t="s">
        <v>60</v>
      </c>
      <c r="P14" s="63"/>
      <c r="Q14" s="63"/>
      <c r="R14" s="63">
        <v>1954013</v>
      </c>
      <c r="S14" s="63">
        <v>171781</v>
      </c>
      <c r="T14" s="63"/>
      <c r="U14" s="63"/>
    </row>
    <row r="15" spans="1:21" ht="60" customHeight="1">
      <c r="A15" s="59" t="s">
        <v>85</v>
      </c>
      <c r="B15" s="89" t="s">
        <v>99</v>
      </c>
      <c r="C15" s="18"/>
      <c r="D15" s="19"/>
      <c r="E15" s="27"/>
      <c r="F15" s="6"/>
      <c r="G15" s="6"/>
      <c r="H15" s="65"/>
      <c r="I15" s="65"/>
      <c r="J15" s="65">
        <f t="shared" si="13"/>
        <v>0</v>
      </c>
      <c r="K15" s="65"/>
      <c r="L15" s="65">
        <f t="shared" si="6"/>
        <v>0</v>
      </c>
      <c r="M15" s="65">
        <v>1260.7</v>
      </c>
      <c r="N15" s="65">
        <f t="shared" si="7"/>
        <v>1260700</v>
      </c>
      <c r="O15" s="6" t="s">
        <v>62</v>
      </c>
      <c r="P15" s="63"/>
      <c r="Q15" s="63"/>
      <c r="R15" s="63"/>
      <c r="S15" s="63"/>
      <c r="T15" s="63">
        <v>1073200</v>
      </c>
      <c r="U15" s="63">
        <v>187500</v>
      </c>
    </row>
    <row r="16" spans="1:21" ht="60" customHeight="1">
      <c r="A16" s="59" t="s">
        <v>112</v>
      </c>
      <c r="B16" s="89" t="s">
        <v>113</v>
      </c>
      <c r="C16" s="18"/>
      <c r="D16" s="19"/>
      <c r="E16" s="27"/>
      <c r="F16" s="6"/>
      <c r="G16" s="6"/>
      <c r="H16" s="95">
        <v>13921.37</v>
      </c>
      <c r="I16" s="95">
        <v>13921.37</v>
      </c>
      <c r="J16" s="95">
        <f t="shared" si="13"/>
        <v>13921375</v>
      </c>
      <c r="K16" s="95"/>
      <c r="L16" s="95"/>
      <c r="M16" s="95"/>
      <c r="N16" s="95"/>
      <c r="O16" s="96"/>
      <c r="P16" s="97">
        <v>12796415</v>
      </c>
      <c r="Q16" s="97">
        <v>1124960</v>
      </c>
      <c r="R16" s="63"/>
      <c r="S16" s="63"/>
      <c r="T16" s="63"/>
      <c r="U16" s="63"/>
    </row>
    <row r="17" spans="1:21" ht="31.9" customHeight="1">
      <c r="A17" s="4" t="s">
        <v>41</v>
      </c>
      <c r="B17" s="90" t="s">
        <v>100</v>
      </c>
      <c r="C17" s="32">
        <v>1770.5</v>
      </c>
      <c r="D17" s="27"/>
      <c r="E17" s="27">
        <v>1770457</v>
      </c>
      <c r="F17" s="6"/>
      <c r="G17" s="6"/>
      <c r="H17" s="65">
        <v>2906</v>
      </c>
      <c r="I17" s="65"/>
      <c r="J17" s="65">
        <f t="shared" si="13"/>
        <v>2906000</v>
      </c>
      <c r="K17" s="65">
        <v>3695</v>
      </c>
      <c r="L17" s="65">
        <f t="shared" si="6"/>
        <v>3695000</v>
      </c>
      <c r="M17" s="65">
        <v>2442</v>
      </c>
      <c r="N17" s="65">
        <f t="shared" si="7"/>
        <v>2442000</v>
      </c>
      <c r="O17" s="6" t="s">
        <v>61</v>
      </c>
      <c r="P17" s="63">
        <v>2576018.34</v>
      </c>
      <c r="Q17" s="63">
        <v>329981.65999999997</v>
      </c>
      <c r="R17" s="63">
        <v>3307000</v>
      </c>
      <c r="S17" s="63">
        <v>388000</v>
      </c>
      <c r="T17" s="63">
        <v>2054000</v>
      </c>
      <c r="U17" s="63">
        <v>388000</v>
      </c>
    </row>
    <row r="18" spans="1:21" ht="36">
      <c r="A18" s="70" t="s">
        <v>38</v>
      </c>
      <c r="B18" s="91" t="s">
        <v>103</v>
      </c>
      <c r="C18" s="56">
        <v>19.2</v>
      </c>
      <c r="D18" s="56"/>
      <c r="E18" s="57">
        <v>19200</v>
      </c>
      <c r="F18" s="51">
        <f>E18/1000</f>
        <v>19.2</v>
      </c>
      <c r="G18" s="51">
        <f>F18-C18</f>
        <v>0</v>
      </c>
      <c r="H18" s="73">
        <v>4024.2</v>
      </c>
      <c r="I18" s="66"/>
      <c r="J18" s="68">
        <f>P18+Q18</f>
        <v>4024176</v>
      </c>
      <c r="K18" s="65"/>
      <c r="L18" s="65">
        <f>R18+S18</f>
        <v>0</v>
      </c>
      <c r="M18" s="66"/>
      <c r="N18" s="65">
        <f>T18+U18</f>
        <v>0</v>
      </c>
      <c r="O18" s="6" t="s">
        <v>64</v>
      </c>
      <c r="P18" s="77">
        <v>3662000</v>
      </c>
      <c r="Q18" s="77">
        <f>362200-24</f>
        <v>362176</v>
      </c>
      <c r="R18" s="63"/>
      <c r="S18" s="63"/>
      <c r="T18" s="63"/>
      <c r="U18" s="63"/>
    </row>
    <row r="19" spans="1:21" ht="38.450000000000003" customHeight="1">
      <c r="A19" s="45" t="s">
        <v>78</v>
      </c>
      <c r="B19" s="92" t="s">
        <v>104</v>
      </c>
      <c r="C19" s="32">
        <v>10592.8</v>
      </c>
      <c r="D19" s="27"/>
      <c r="E19" s="27">
        <v>10592830</v>
      </c>
      <c r="F19" s="6">
        <f>E19/1000</f>
        <v>10592.83</v>
      </c>
      <c r="G19" s="6">
        <f>F19-C19</f>
        <v>3.0000000000654836E-2</v>
      </c>
      <c r="H19" s="95">
        <f>5000+5078.7+51.3</f>
        <v>10130</v>
      </c>
      <c r="I19" s="95">
        <f>5078.7+51.3</f>
        <v>5130</v>
      </c>
      <c r="J19" s="95">
        <f>P19+Q19</f>
        <v>10130000</v>
      </c>
      <c r="K19" s="95">
        <v>10000</v>
      </c>
      <c r="L19" s="95">
        <f>R19+S19</f>
        <v>10000000</v>
      </c>
      <c r="M19" s="95">
        <v>20000</v>
      </c>
      <c r="N19" s="95">
        <f>T19+U19</f>
        <v>20000000</v>
      </c>
      <c r="O19" s="96" t="s">
        <v>61</v>
      </c>
      <c r="P19" s="97">
        <f>4950000+5078700</f>
        <v>10028700</v>
      </c>
      <c r="Q19" s="97">
        <f>50000+51300</f>
        <v>101300</v>
      </c>
      <c r="R19" s="63">
        <v>9900000</v>
      </c>
      <c r="S19" s="63">
        <v>100000</v>
      </c>
      <c r="T19" s="63">
        <v>19800000</v>
      </c>
      <c r="U19" s="63">
        <v>200000</v>
      </c>
    </row>
    <row r="20" spans="1:21" ht="25.9" customHeight="1">
      <c r="A20" s="1" t="s">
        <v>39</v>
      </c>
      <c r="B20" s="90" t="s">
        <v>105</v>
      </c>
      <c r="C20" s="32">
        <v>19852.8</v>
      </c>
      <c r="D20" s="27"/>
      <c r="E20" s="27">
        <v>19852840.23</v>
      </c>
      <c r="F20" s="6">
        <f t="shared" si="9"/>
        <v>19852.840230000002</v>
      </c>
      <c r="G20" s="6">
        <f t="shared" si="10"/>
        <v>4.0230000002338784E-2</v>
      </c>
      <c r="H20" s="68">
        <v>17176</v>
      </c>
      <c r="I20" s="65"/>
      <c r="J20" s="68">
        <f t="shared" ref="J20:J54" si="14">P20+Q20</f>
        <v>17175993.789999999</v>
      </c>
      <c r="K20" s="65">
        <v>18111.400000000001</v>
      </c>
      <c r="L20" s="65">
        <f t="shared" ref="L20:L52" si="15">R20+S20</f>
        <v>18111435.07</v>
      </c>
      <c r="M20" s="65">
        <v>18882.900000000001</v>
      </c>
      <c r="N20" s="65">
        <f t="shared" ref="N20:N56" si="16">T20+U20</f>
        <v>18882931.760000002</v>
      </c>
      <c r="O20" s="6" t="s">
        <v>62</v>
      </c>
      <c r="P20" s="77">
        <v>17004233.859999999</v>
      </c>
      <c r="Q20" s="77">
        <v>171759.93</v>
      </c>
      <c r="R20" s="63">
        <v>17930239.969999999</v>
      </c>
      <c r="S20" s="63">
        <v>181195.1</v>
      </c>
      <c r="T20" s="63">
        <v>18694011.280000001</v>
      </c>
      <c r="U20" s="63">
        <v>188920.48</v>
      </c>
    </row>
    <row r="21" spans="1:21" ht="24.75" hidden="1">
      <c r="A21" s="4" t="s">
        <v>40</v>
      </c>
      <c r="B21" s="11" t="s">
        <v>24</v>
      </c>
      <c r="C21" s="32"/>
      <c r="D21" s="27"/>
      <c r="E21" s="27"/>
      <c r="F21" s="6">
        <f t="shared" si="9"/>
        <v>0</v>
      </c>
      <c r="G21" s="6">
        <f t="shared" si="10"/>
        <v>0</v>
      </c>
      <c r="H21" s="65"/>
      <c r="I21" s="65"/>
      <c r="J21" s="65">
        <f t="shared" si="14"/>
        <v>0</v>
      </c>
      <c r="K21" s="65"/>
      <c r="L21" s="65">
        <f t="shared" si="15"/>
        <v>0</v>
      </c>
      <c r="M21" s="65"/>
      <c r="N21" s="65">
        <f t="shared" si="16"/>
        <v>0</v>
      </c>
      <c r="O21" s="6"/>
      <c r="P21" s="63"/>
      <c r="Q21" s="63"/>
      <c r="R21" s="63"/>
      <c r="S21" s="63"/>
      <c r="T21" s="63"/>
      <c r="U21" s="63"/>
    </row>
    <row r="22" spans="1:21">
      <c r="A22" s="2" t="s">
        <v>42</v>
      </c>
      <c r="B22" s="12" t="s">
        <v>20</v>
      </c>
      <c r="C22" s="28">
        <f>C23+C24+C27+C29+C30+C25+C28+C31+C32+C33</f>
        <v>7052.7</v>
      </c>
      <c r="D22" s="28">
        <f>D23+D24+D27+D29+D30+D25+D28+D31+D32+D33</f>
        <v>0</v>
      </c>
      <c r="E22" s="28">
        <f>E23+E24+E27+E29+E30+E25+E28+E31+E32+E33</f>
        <v>7052716.3899999997</v>
      </c>
      <c r="F22" s="28">
        <f>F23+F24+F27+F29+F30+F25+F28+F31+F32+F33</f>
        <v>6973.7163900000005</v>
      </c>
      <c r="G22" s="28">
        <f>G23+G24+G27+G29+G30+G25+G28+G31+G32+G33</f>
        <v>1.6390000000068738E-2</v>
      </c>
      <c r="H22" s="28">
        <f>SUM(H23:H33)</f>
        <v>25596.560000000001</v>
      </c>
      <c r="I22" s="28">
        <f>SUM(I23:I33)</f>
        <v>6553.39</v>
      </c>
      <c r="J22" s="65">
        <f t="shared" si="14"/>
        <v>25596560</v>
      </c>
      <c r="K22" s="28">
        <f>SUM(K23:K33)</f>
        <v>8278</v>
      </c>
      <c r="L22" s="65">
        <f t="shared" si="15"/>
        <v>8278000</v>
      </c>
      <c r="M22" s="28">
        <f>SUM(M23:M33)</f>
        <v>8228</v>
      </c>
      <c r="N22" s="65">
        <f t="shared" si="16"/>
        <v>8328000</v>
      </c>
      <c r="O22" s="6"/>
      <c r="P22" s="28">
        <f t="shared" ref="P22:U22" si="17">SUM(P23:P33)</f>
        <v>0</v>
      </c>
      <c r="Q22" s="28">
        <f t="shared" si="17"/>
        <v>25596560</v>
      </c>
      <c r="R22" s="28">
        <f t="shared" si="17"/>
        <v>0</v>
      </c>
      <c r="S22" s="28">
        <f t="shared" si="17"/>
        <v>8278000</v>
      </c>
      <c r="T22" s="28">
        <f t="shared" si="17"/>
        <v>0</v>
      </c>
      <c r="U22" s="28">
        <f t="shared" si="17"/>
        <v>8328000</v>
      </c>
    </row>
    <row r="23" spans="1:21" ht="27.6" customHeight="1">
      <c r="A23" s="1"/>
      <c r="B23" s="10" t="s">
        <v>21</v>
      </c>
      <c r="C23" s="32">
        <f>3236+2126</f>
        <v>5362</v>
      </c>
      <c r="D23" s="27"/>
      <c r="E23" s="27">
        <f>3236000+2126000</f>
        <v>5362000</v>
      </c>
      <c r="F23" s="6">
        <f t="shared" si="9"/>
        <v>5362</v>
      </c>
      <c r="G23" s="6">
        <f t="shared" si="10"/>
        <v>0</v>
      </c>
      <c r="H23" s="98">
        <f>5412+87.65-1124.96</f>
        <v>4374.6899999999996</v>
      </c>
      <c r="I23" s="98">
        <f>87.65-1124.96</f>
        <v>-1037.31</v>
      </c>
      <c r="J23" s="98">
        <f t="shared" si="14"/>
        <v>4374690</v>
      </c>
      <c r="K23" s="95">
        <v>5412</v>
      </c>
      <c r="L23" s="95">
        <f t="shared" si="15"/>
        <v>5412000</v>
      </c>
      <c r="M23" s="95">
        <v>5412</v>
      </c>
      <c r="N23" s="95">
        <f t="shared" si="16"/>
        <v>5412000</v>
      </c>
      <c r="O23" s="96" t="s">
        <v>60</v>
      </c>
      <c r="P23" s="97"/>
      <c r="Q23" s="98">
        <f>5412000+87650-1124960</f>
        <v>4374690</v>
      </c>
      <c r="R23" s="63"/>
      <c r="S23" s="65">
        <v>5412000</v>
      </c>
      <c r="T23" s="63"/>
      <c r="U23" s="65">
        <v>5412000</v>
      </c>
    </row>
    <row r="24" spans="1:21" ht="48">
      <c r="A24" s="1"/>
      <c r="B24" s="52" t="s">
        <v>67</v>
      </c>
      <c r="C24" s="57">
        <v>500</v>
      </c>
      <c r="D24" s="57"/>
      <c r="E24" s="57">
        <v>500000</v>
      </c>
      <c r="F24" s="51">
        <f t="shared" si="9"/>
        <v>500</v>
      </c>
      <c r="G24" s="51">
        <f t="shared" si="10"/>
        <v>0</v>
      </c>
      <c r="H24" s="73">
        <v>543.77</v>
      </c>
      <c r="I24" s="73"/>
      <c r="J24" s="68">
        <f t="shared" si="14"/>
        <v>543770</v>
      </c>
      <c r="K24" s="66">
        <v>1000</v>
      </c>
      <c r="L24" s="65">
        <f t="shared" si="15"/>
        <v>1000000</v>
      </c>
      <c r="M24" s="66">
        <v>1000</v>
      </c>
      <c r="N24" s="65">
        <f t="shared" si="16"/>
        <v>1100000</v>
      </c>
      <c r="O24" s="6" t="s">
        <v>60</v>
      </c>
      <c r="P24" s="63"/>
      <c r="Q24" s="73">
        <v>543770</v>
      </c>
      <c r="R24" s="63"/>
      <c r="S24" s="66">
        <v>1000000</v>
      </c>
      <c r="T24" s="63"/>
      <c r="U24" s="66">
        <v>1100000</v>
      </c>
    </row>
    <row r="25" spans="1:21" ht="24.75">
      <c r="A25" s="1"/>
      <c r="B25" s="40" t="s">
        <v>30</v>
      </c>
      <c r="C25" s="25"/>
      <c r="D25" s="25"/>
      <c r="E25" s="25"/>
      <c r="F25" s="6">
        <f t="shared" si="9"/>
        <v>0</v>
      </c>
      <c r="G25" s="6">
        <f t="shared" si="10"/>
        <v>0</v>
      </c>
      <c r="H25" s="65"/>
      <c r="I25" s="65"/>
      <c r="J25" s="65">
        <f t="shared" si="14"/>
        <v>0</v>
      </c>
      <c r="K25" s="65"/>
      <c r="L25" s="65">
        <f t="shared" si="15"/>
        <v>0</v>
      </c>
      <c r="M25" s="65"/>
      <c r="N25" s="65">
        <f t="shared" si="16"/>
        <v>0</v>
      </c>
      <c r="O25" s="6"/>
      <c r="P25" s="63"/>
      <c r="Q25" s="63"/>
      <c r="R25" s="63"/>
      <c r="S25" s="63"/>
      <c r="T25" s="63"/>
      <c r="U25" s="63"/>
    </row>
    <row r="26" spans="1:21" ht="36.75">
      <c r="A26" s="1"/>
      <c r="B26" s="64" t="s">
        <v>88</v>
      </c>
      <c r="C26" s="25"/>
      <c r="D26" s="25"/>
      <c r="E26" s="25"/>
      <c r="F26" s="6"/>
      <c r="G26" s="6"/>
      <c r="H26" s="65"/>
      <c r="I26" s="65"/>
      <c r="J26" s="65">
        <f t="shared" si="14"/>
        <v>0</v>
      </c>
      <c r="K26" s="65">
        <v>1300</v>
      </c>
      <c r="L26" s="65">
        <f t="shared" si="15"/>
        <v>1300000</v>
      </c>
      <c r="M26" s="65">
        <v>1250</v>
      </c>
      <c r="N26" s="65">
        <f t="shared" si="16"/>
        <v>1250000</v>
      </c>
      <c r="O26" s="6" t="s">
        <v>60</v>
      </c>
      <c r="P26" s="63"/>
      <c r="Q26" s="63"/>
      <c r="R26" s="63"/>
      <c r="S26" s="65">
        <v>1300000</v>
      </c>
      <c r="T26" s="63"/>
      <c r="U26" s="65">
        <v>1250000</v>
      </c>
    </row>
    <row r="27" spans="1:21" ht="22.15" customHeight="1">
      <c r="A27" s="1"/>
      <c r="B27" s="30" t="s">
        <v>89</v>
      </c>
      <c r="C27" s="25">
        <v>508.9</v>
      </c>
      <c r="D27" s="25"/>
      <c r="E27" s="25">
        <v>508947.39</v>
      </c>
      <c r="F27" s="6">
        <f t="shared" si="9"/>
        <v>508.94739000000004</v>
      </c>
      <c r="G27" s="6">
        <f t="shared" si="10"/>
        <v>4.7390000000063992E-2</v>
      </c>
      <c r="H27" s="65">
        <v>111</v>
      </c>
      <c r="I27" s="65"/>
      <c r="J27" s="65">
        <f t="shared" si="14"/>
        <v>111000</v>
      </c>
      <c r="K27" s="65">
        <v>111</v>
      </c>
      <c r="L27" s="65">
        <f t="shared" si="15"/>
        <v>111000</v>
      </c>
      <c r="M27" s="65">
        <v>111</v>
      </c>
      <c r="N27" s="65">
        <f t="shared" si="16"/>
        <v>111000</v>
      </c>
      <c r="O27" s="6" t="s">
        <v>61</v>
      </c>
      <c r="P27" s="63"/>
      <c r="Q27" s="65">
        <v>111000</v>
      </c>
      <c r="R27" s="63"/>
      <c r="S27" s="65">
        <v>111000</v>
      </c>
      <c r="T27" s="63"/>
      <c r="U27" s="65">
        <v>111000</v>
      </c>
    </row>
    <row r="28" spans="1:21" ht="39" customHeight="1">
      <c r="A28" s="1"/>
      <c r="B28" s="30" t="s">
        <v>31</v>
      </c>
      <c r="C28" s="16">
        <v>31.3</v>
      </c>
      <c r="D28" s="16"/>
      <c r="E28" s="25">
        <v>31250</v>
      </c>
      <c r="F28" s="6">
        <f t="shared" si="9"/>
        <v>31.25</v>
      </c>
      <c r="G28" s="6">
        <f t="shared" si="10"/>
        <v>-5.0000000000000711E-2</v>
      </c>
      <c r="H28" s="65">
        <v>32</v>
      </c>
      <c r="I28" s="65"/>
      <c r="J28" s="65">
        <f t="shared" si="14"/>
        <v>32000</v>
      </c>
      <c r="K28" s="65">
        <v>32</v>
      </c>
      <c r="L28" s="65">
        <f t="shared" si="15"/>
        <v>32000</v>
      </c>
      <c r="M28" s="65">
        <v>32</v>
      </c>
      <c r="N28" s="65">
        <f t="shared" si="16"/>
        <v>32000</v>
      </c>
      <c r="O28" s="6" t="s">
        <v>61</v>
      </c>
      <c r="P28" s="63"/>
      <c r="Q28" s="65">
        <v>32000</v>
      </c>
      <c r="R28" s="63"/>
      <c r="S28" s="65">
        <v>32000</v>
      </c>
      <c r="T28" s="63"/>
      <c r="U28" s="65">
        <v>32000</v>
      </c>
    </row>
    <row r="29" spans="1:21" ht="24">
      <c r="A29" s="1"/>
      <c r="B29" s="9" t="s">
        <v>28</v>
      </c>
      <c r="C29" s="16">
        <v>571.5</v>
      </c>
      <c r="D29" s="16"/>
      <c r="E29" s="25">
        <v>571519</v>
      </c>
      <c r="F29" s="6">
        <f t="shared" si="9"/>
        <v>571.51900000000001</v>
      </c>
      <c r="G29" s="6">
        <f t="shared" si="10"/>
        <v>1.9000000000005457E-2</v>
      </c>
      <c r="H29" s="65">
        <v>271</v>
      </c>
      <c r="I29" s="65"/>
      <c r="J29" s="65">
        <f t="shared" si="14"/>
        <v>271000</v>
      </c>
      <c r="K29" s="65">
        <v>423</v>
      </c>
      <c r="L29" s="65">
        <f t="shared" si="15"/>
        <v>423000</v>
      </c>
      <c r="M29" s="65">
        <v>423</v>
      </c>
      <c r="N29" s="65">
        <f t="shared" si="16"/>
        <v>423000</v>
      </c>
      <c r="O29" s="6" t="s">
        <v>61</v>
      </c>
      <c r="P29" s="63"/>
      <c r="Q29" s="65">
        <v>271000</v>
      </c>
      <c r="R29" s="63"/>
      <c r="S29" s="65">
        <v>423000</v>
      </c>
      <c r="T29" s="63"/>
      <c r="U29" s="65">
        <v>423000</v>
      </c>
    </row>
    <row r="30" spans="1:21" ht="24">
      <c r="A30" s="1"/>
      <c r="B30" s="71" t="s">
        <v>29</v>
      </c>
      <c r="C30" s="18"/>
      <c r="D30" s="19"/>
      <c r="E30" s="27"/>
      <c r="F30" s="6">
        <f t="shared" si="9"/>
        <v>0</v>
      </c>
      <c r="G30" s="6">
        <f t="shared" si="10"/>
        <v>0</v>
      </c>
      <c r="H30" s="65"/>
      <c r="I30" s="65"/>
      <c r="J30" s="65">
        <f t="shared" si="14"/>
        <v>0</v>
      </c>
      <c r="K30" s="65"/>
      <c r="L30" s="65">
        <f t="shared" si="15"/>
        <v>0</v>
      </c>
      <c r="M30" s="65"/>
      <c r="N30" s="65">
        <f t="shared" si="16"/>
        <v>0</v>
      </c>
      <c r="O30" s="6"/>
      <c r="P30" s="63"/>
      <c r="Q30" s="63"/>
      <c r="R30" s="63"/>
      <c r="S30" s="63"/>
      <c r="T30" s="63"/>
      <c r="U30" s="63"/>
    </row>
    <row r="31" spans="1:21" ht="72">
      <c r="A31" s="1"/>
      <c r="B31" s="94" t="s">
        <v>111</v>
      </c>
      <c r="C31" s="18"/>
      <c r="D31" s="19"/>
      <c r="E31" s="27"/>
      <c r="F31" s="6">
        <f t="shared" si="9"/>
        <v>0</v>
      </c>
      <c r="G31" s="6">
        <f t="shared" si="10"/>
        <v>0</v>
      </c>
      <c r="H31" s="98">
        <v>7096.5</v>
      </c>
      <c r="I31" s="98">
        <v>7096.5</v>
      </c>
      <c r="J31" s="98">
        <f t="shared" si="14"/>
        <v>7096500</v>
      </c>
      <c r="K31" s="95"/>
      <c r="L31" s="95">
        <f t="shared" si="15"/>
        <v>0</v>
      </c>
      <c r="M31" s="95"/>
      <c r="N31" s="95">
        <f t="shared" si="16"/>
        <v>0</v>
      </c>
      <c r="O31" s="96"/>
      <c r="P31" s="97"/>
      <c r="Q31" s="97">
        <v>7096500</v>
      </c>
      <c r="R31" s="63"/>
      <c r="S31" s="63"/>
      <c r="T31" s="63"/>
      <c r="U31" s="63"/>
    </row>
    <row r="32" spans="1:21">
      <c r="A32" s="1"/>
      <c r="B32" s="79" t="s">
        <v>109</v>
      </c>
      <c r="C32" s="80"/>
      <c r="D32" s="80"/>
      <c r="E32" s="81"/>
      <c r="F32" s="82">
        <f t="shared" si="9"/>
        <v>0</v>
      </c>
      <c r="G32" s="82">
        <f t="shared" si="10"/>
        <v>0</v>
      </c>
      <c r="H32" s="83">
        <v>12673.4</v>
      </c>
      <c r="I32" s="83"/>
      <c r="J32" s="83">
        <f t="shared" si="14"/>
        <v>12673400</v>
      </c>
      <c r="K32" s="83"/>
      <c r="L32" s="83">
        <f t="shared" si="15"/>
        <v>0</v>
      </c>
      <c r="M32" s="83"/>
      <c r="N32" s="83">
        <f t="shared" si="16"/>
        <v>0</v>
      </c>
      <c r="O32" s="82"/>
      <c r="P32" s="84"/>
      <c r="Q32" s="84">
        <v>12673400</v>
      </c>
      <c r="R32" s="84"/>
      <c r="S32" s="84"/>
      <c r="T32" s="84"/>
      <c r="U32" s="84"/>
    </row>
    <row r="33" spans="1:21" ht="36">
      <c r="A33" s="1"/>
      <c r="B33" s="99" t="s">
        <v>116</v>
      </c>
      <c r="C33" s="18">
        <v>79</v>
      </c>
      <c r="D33" s="19"/>
      <c r="E33" s="27">
        <v>79000</v>
      </c>
      <c r="F33" s="6"/>
      <c r="G33" s="6"/>
      <c r="H33" s="65">
        <v>494.2</v>
      </c>
      <c r="I33" s="65">
        <v>494.2</v>
      </c>
      <c r="J33" s="65">
        <f t="shared" si="14"/>
        <v>494200</v>
      </c>
      <c r="K33" s="65"/>
      <c r="L33" s="65">
        <f t="shared" si="15"/>
        <v>0</v>
      </c>
      <c r="M33" s="65"/>
      <c r="N33" s="65">
        <f t="shared" si="16"/>
        <v>0</v>
      </c>
      <c r="O33" s="6"/>
      <c r="P33" s="63"/>
      <c r="Q33" s="63">
        <v>494200</v>
      </c>
      <c r="R33" s="63"/>
      <c r="S33" s="63"/>
      <c r="T33" s="63"/>
      <c r="U33" s="63"/>
    </row>
    <row r="34" spans="1:21" ht="16.899999999999999" customHeight="1">
      <c r="A34" s="7" t="s">
        <v>43</v>
      </c>
      <c r="B34" s="13" t="s">
        <v>3</v>
      </c>
      <c r="C34" s="72">
        <f>C35+C46+C47+C48+C49</f>
        <v>726424</v>
      </c>
      <c r="D34" s="72">
        <f>D35+D46+D47+D48+D49</f>
        <v>0</v>
      </c>
      <c r="E34" s="72">
        <f>E35+E46+E47+E48+E49</f>
        <v>726423994</v>
      </c>
      <c r="F34" s="72">
        <f>F35+F46+F47+F48+F49</f>
        <v>726423.99399999995</v>
      </c>
      <c r="G34" s="72">
        <f>G35+G46+G47+G48+G49</f>
        <v>-6.0000000003128662E-3</v>
      </c>
      <c r="H34" s="69">
        <f>H35+H46+H47+H48+H49+H50</f>
        <v>774940.99</v>
      </c>
      <c r="I34" s="69">
        <f t="shared" ref="I34:U34" si="18">I35+I46+I47+I48+I49+I50</f>
        <v>0</v>
      </c>
      <c r="J34" s="69">
        <f>J35+J46+J47+J48+J49+J50</f>
        <v>774940999.34000003</v>
      </c>
      <c r="K34" s="69">
        <f t="shared" si="18"/>
        <v>700250</v>
      </c>
      <c r="L34" s="69">
        <f t="shared" si="18"/>
        <v>700250000</v>
      </c>
      <c r="M34" s="69">
        <f t="shared" si="18"/>
        <v>774495</v>
      </c>
      <c r="N34" s="69">
        <f t="shared" si="18"/>
        <v>774495000</v>
      </c>
      <c r="O34" s="6"/>
      <c r="P34" s="69">
        <f>P35+P46+P47+P48+P49+P50</f>
        <v>3542359</v>
      </c>
      <c r="Q34" s="69">
        <f t="shared" si="18"/>
        <v>771398640.34000003</v>
      </c>
      <c r="R34" s="69">
        <f t="shared" si="18"/>
        <v>3699000</v>
      </c>
      <c r="S34" s="69">
        <f t="shared" si="18"/>
        <v>696551000</v>
      </c>
      <c r="T34" s="69">
        <f t="shared" si="18"/>
        <v>3395000</v>
      </c>
      <c r="U34" s="69">
        <f t="shared" si="18"/>
        <v>771100000</v>
      </c>
    </row>
    <row r="35" spans="1:21" ht="25.9" customHeight="1">
      <c r="A35" s="399" t="s">
        <v>44</v>
      </c>
      <c r="B35" s="400" t="s">
        <v>106</v>
      </c>
      <c r="C35" s="401">
        <f>SUM(C37:C45)</f>
        <v>691386</v>
      </c>
      <c r="D35" s="401">
        <f>SUM(D37:D45)</f>
        <v>0</v>
      </c>
      <c r="E35" s="402">
        <f>SUM(E37:E45)</f>
        <v>691386000</v>
      </c>
      <c r="F35" s="6">
        <f t="shared" si="9"/>
        <v>691386</v>
      </c>
      <c r="G35" s="6">
        <f>F35-C35</f>
        <v>0</v>
      </c>
      <c r="H35" s="397">
        <f t="shared" ref="H35:N35" si="19">SUM(H37:H45)</f>
        <v>739626</v>
      </c>
      <c r="I35" s="397">
        <f t="shared" si="19"/>
        <v>0</v>
      </c>
      <c r="J35" s="397">
        <f t="shared" si="19"/>
        <v>739626000</v>
      </c>
      <c r="K35" s="397">
        <f t="shared" si="19"/>
        <v>662932</v>
      </c>
      <c r="L35" s="397">
        <f t="shared" si="19"/>
        <v>662932000</v>
      </c>
      <c r="M35" s="397">
        <f t="shared" si="19"/>
        <v>736723</v>
      </c>
      <c r="N35" s="397">
        <f t="shared" si="19"/>
        <v>736723000</v>
      </c>
      <c r="O35" s="6"/>
      <c r="P35" s="397">
        <f>SUM(P37:P45)</f>
        <v>0</v>
      </c>
      <c r="Q35" s="397">
        <f t="shared" ref="Q35:U35" si="20">SUM(Q37:Q45)</f>
        <v>739626000</v>
      </c>
      <c r="R35" s="397">
        <f t="shared" si="20"/>
        <v>0</v>
      </c>
      <c r="S35" s="397">
        <f t="shared" si="20"/>
        <v>662932000</v>
      </c>
      <c r="T35" s="397">
        <f t="shared" si="20"/>
        <v>0</v>
      </c>
      <c r="U35" s="397">
        <f t="shared" si="20"/>
        <v>736723000</v>
      </c>
    </row>
    <row r="36" spans="1:21" ht="14.45" hidden="1" customHeight="1">
      <c r="A36" s="399"/>
      <c r="B36" s="400"/>
      <c r="C36" s="401"/>
      <c r="D36" s="401"/>
      <c r="E36" s="402"/>
      <c r="F36" s="6">
        <f t="shared" si="9"/>
        <v>0</v>
      </c>
      <c r="G36" s="6">
        <f>F36-C36</f>
        <v>0</v>
      </c>
      <c r="H36" s="397"/>
      <c r="I36" s="397"/>
      <c r="J36" s="397"/>
      <c r="K36" s="397"/>
      <c r="L36" s="397"/>
      <c r="M36" s="397"/>
      <c r="N36" s="397"/>
      <c r="O36" s="6"/>
      <c r="P36" s="397"/>
      <c r="Q36" s="397"/>
      <c r="R36" s="397"/>
      <c r="S36" s="397"/>
      <c r="T36" s="397"/>
      <c r="U36" s="397"/>
    </row>
    <row r="37" spans="1:21" ht="61.15" customHeight="1">
      <c r="A37" s="403"/>
      <c r="B37" s="71" t="s">
        <v>5</v>
      </c>
      <c r="C37" s="31">
        <v>386036</v>
      </c>
      <c r="D37" s="21"/>
      <c r="E37" s="29">
        <v>386036000</v>
      </c>
      <c r="F37" s="6">
        <f t="shared" si="9"/>
        <v>386036</v>
      </c>
      <c r="G37" s="6">
        <f t="shared" si="10"/>
        <v>0</v>
      </c>
      <c r="H37" s="68">
        <v>430728</v>
      </c>
      <c r="I37" s="68"/>
      <c r="J37" s="68">
        <f t="shared" si="14"/>
        <v>430728000</v>
      </c>
      <c r="K37" s="65">
        <v>385292</v>
      </c>
      <c r="L37" s="65">
        <f t="shared" si="15"/>
        <v>385292000</v>
      </c>
      <c r="M37" s="65">
        <v>430010</v>
      </c>
      <c r="N37" s="65">
        <f t="shared" si="16"/>
        <v>430010000</v>
      </c>
      <c r="O37" s="6" t="s">
        <v>60</v>
      </c>
      <c r="P37" s="63"/>
      <c r="Q37" s="68">
        <v>430728000</v>
      </c>
      <c r="R37" s="63"/>
      <c r="S37" s="65">
        <v>385292000</v>
      </c>
      <c r="T37" s="63"/>
      <c r="U37" s="65">
        <v>430010000</v>
      </c>
    </row>
    <row r="38" spans="1:21" ht="34.9" customHeight="1">
      <c r="A38" s="403"/>
      <c r="B38" s="71" t="s">
        <v>6</v>
      </c>
      <c r="C38" s="20">
        <v>295813</v>
      </c>
      <c r="D38" s="21"/>
      <c r="E38" s="29">
        <v>295813000</v>
      </c>
      <c r="F38" s="6">
        <f t="shared" si="9"/>
        <v>295813</v>
      </c>
      <c r="G38" s="6">
        <f t="shared" si="10"/>
        <v>0</v>
      </c>
      <c r="H38" s="68">
        <v>299172</v>
      </c>
      <c r="I38" s="68"/>
      <c r="J38" s="68">
        <f t="shared" si="14"/>
        <v>299172000</v>
      </c>
      <c r="K38" s="65">
        <v>267660</v>
      </c>
      <c r="L38" s="65">
        <f t="shared" si="15"/>
        <v>267660000</v>
      </c>
      <c r="M38" s="65">
        <v>296463</v>
      </c>
      <c r="N38" s="65">
        <f t="shared" si="16"/>
        <v>296463000</v>
      </c>
      <c r="O38" s="6" t="s">
        <v>60</v>
      </c>
      <c r="P38" s="63"/>
      <c r="Q38" s="68">
        <v>299172000</v>
      </c>
      <c r="R38" s="63"/>
      <c r="S38" s="65">
        <v>267660000</v>
      </c>
      <c r="T38" s="63"/>
      <c r="U38" s="65">
        <v>296463000</v>
      </c>
    </row>
    <row r="39" spans="1:21" ht="25.15" customHeight="1">
      <c r="A39" s="403"/>
      <c r="B39" s="71" t="s">
        <v>7</v>
      </c>
      <c r="C39" s="20">
        <v>6199</v>
      </c>
      <c r="D39" s="21"/>
      <c r="E39" s="29">
        <v>6199000</v>
      </c>
      <c r="F39" s="6">
        <f t="shared" si="9"/>
        <v>6199</v>
      </c>
      <c r="G39" s="6">
        <f t="shared" si="10"/>
        <v>0</v>
      </c>
      <c r="H39" s="68">
        <v>6291</v>
      </c>
      <c r="I39" s="68"/>
      <c r="J39" s="68">
        <f t="shared" si="14"/>
        <v>6291000</v>
      </c>
      <c r="K39" s="65">
        <v>6463</v>
      </c>
      <c r="L39" s="65">
        <f t="shared" si="15"/>
        <v>6463000</v>
      </c>
      <c r="M39" s="65">
        <v>6646</v>
      </c>
      <c r="N39" s="65">
        <f t="shared" si="16"/>
        <v>6646000</v>
      </c>
      <c r="O39" s="6" t="s">
        <v>60</v>
      </c>
      <c r="P39" s="63"/>
      <c r="Q39" s="68">
        <v>6291000</v>
      </c>
      <c r="R39" s="63"/>
      <c r="S39" s="65">
        <v>6463000</v>
      </c>
      <c r="T39" s="63"/>
      <c r="U39" s="65">
        <v>6646000</v>
      </c>
    </row>
    <row r="40" spans="1:21" ht="48" customHeight="1">
      <c r="A40" s="403"/>
      <c r="B40" s="71" t="s">
        <v>8</v>
      </c>
      <c r="C40" s="20">
        <v>2</v>
      </c>
      <c r="D40" s="21"/>
      <c r="E40" s="29">
        <v>2000</v>
      </c>
      <c r="F40" s="6">
        <f t="shared" si="9"/>
        <v>2</v>
      </c>
      <c r="G40" s="6">
        <f t="shared" si="10"/>
        <v>0</v>
      </c>
      <c r="H40" s="68">
        <v>2</v>
      </c>
      <c r="I40" s="68"/>
      <c r="J40" s="68">
        <f t="shared" si="14"/>
        <v>2000</v>
      </c>
      <c r="K40" s="65">
        <v>2</v>
      </c>
      <c r="L40" s="65">
        <f t="shared" si="15"/>
        <v>2000</v>
      </c>
      <c r="M40" s="65">
        <v>2</v>
      </c>
      <c r="N40" s="65">
        <f t="shared" si="16"/>
        <v>2000</v>
      </c>
      <c r="O40" s="6" t="s">
        <v>61</v>
      </c>
      <c r="P40" s="63"/>
      <c r="Q40" s="68">
        <v>2000</v>
      </c>
      <c r="R40" s="63"/>
      <c r="S40" s="65">
        <v>2000</v>
      </c>
      <c r="T40" s="63"/>
      <c r="U40" s="65">
        <v>2000</v>
      </c>
    </row>
    <row r="41" spans="1:21" ht="34.9" customHeight="1">
      <c r="A41" s="403"/>
      <c r="B41" s="71" t="s">
        <v>9</v>
      </c>
      <c r="C41" s="31">
        <v>558</v>
      </c>
      <c r="D41" s="21"/>
      <c r="E41" s="29">
        <v>558000</v>
      </c>
      <c r="F41" s="6">
        <f t="shared" si="9"/>
        <v>558</v>
      </c>
      <c r="G41" s="6">
        <f t="shared" si="10"/>
        <v>0</v>
      </c>
      <c r="H41" s="68">
        <v>558</v>
      </c>
      <c r="I41" s="68"/>
      <c r="J41" s="68">
        <f t="shared" si="14"/>
        <v>558000</v>
      </c>
      <c r="K41" s="65">
        <v>579</v>
      </c>
      <c r="L41" s="65">
        <f t="shared" si="15"/>
        <v>579000</v>
      </c>
      <c r="M41" s="65">
        <v>602</v>
      </c>
      <c r="N41" s="65">
        <f t="shared" si="16"/>
        <v>602000</v>
      </c>
      <c r="O41" s="6" t="s">
        <v>61</v>
      </c>
      <c r="P41" s="63"/>
      <c r="Q41" s="68">
        <v>558000</v>
      </c>
      <c r="R41" s="63"/>
      <c r="S41" s="65">
        <v>579000</v>
      </c>
      <c r="T41" s="63"/>
      <c r="U41" s="65">
        <v>602000</v>
      </c>
    </row>
    <row r="42" spans="1:21" ht="24" customHeight="1">
      <c r="A42" s="403"/>
      <c r="B42" s="71" t="s">
        <v>10</v>
      </c>
      <c r="C42" s="20">
        <v>1032</v>
      </c>
      <c r="D42" s="21"/>
      <c r="E42" s="29">
        <v>1032000</v>
      </c>
      <c r="F42" s="6">
        <f t="shared" si="9"/>
        <v>1032</v>
      </c>
      <c r="G42" s="6">
        <f t="shared" si="10"/>
        <v>0</v>
      </c>
      <c r="H42" s="68">
        <v>1037</v>
      </c>
      <c r="I42" s="68"/>
      <c r="J42" s="68">
        <f t="shared" si="14"/>
        <v>1037000</v>
      </c>
      <c r="K42" s="65">
        <v>1076</v>
      </c>
      <c r="L42" s="65">
        <f t="shared" si="15"/>
        <v>1076000</v>
      </c>
      <c r="M42" s="65">
        <v>1119</v>
      </c>
      <c r="N42" s="65">
        <f t="shared" si="16"/>
        <v>1119000</v>
      </c>
      <c r="O42" s="6" t="s">
        <v>61</v>
      </c>
      <c r="P42" s="63"/>
      <c r="Q42" s="68">
        <v>1037000</v>
      </c>
      <c r="R42" s="63"/>
      <c r="S42" s="65">
        <v>1076000</v>
      </c>
      <c r="T42" s="63"/>
      <c r="U42" s="65">
        <v>1119000</v>
      </c>
    </row>
    <row r="43" spans="1:21" ht="24.6" customHeight="1">
      <c r="A43" s="403"/>
      <c r="B43" s="71" t="s">
        <v>11</v>
      </c>
      <c r="C43" s="20">
        <v>542</v>
      </c>
      <c r="D43" s="21"/>
      <c r="E43" s="29">
        <v>542000</v>
      </c>
      <c r="F43" s="6">
        <f t="shared" si="9"/>
        <v>542</v>
      </c>
      <c r="G43" s="6">
        <f t="shared" si="10"/>
        <v>0</v>
      </c>
      <c r="H43" s="68">
        <v>542</v>
      </c>
      <c r="I43" s="68"/>
      <c r="J43" s="68">
        <f t="shared" si="14"/>
        <v>542000</v>
      </c>
      <c r="K43" s="65">
        <v>564</v>
      </c>
      <c r="L43" s="65">
        <f t="shared" si="15"/>
        <v>564000</v>
      </c>
      <c r="M43" s="65">
        <v>585</v>
      </c>
      <c r="N43" s="65">
        <f t="shared" si="16"/>
        <v>585000</v>
      </c>
      <c r="O43" s="6" t="s">
        <v>61</v>
      </c>
      <c r="P43" s="63"/>
      <c r="Q43" s="68">
        <v>542000</v>
      </c>
      <c r="R43" s="63"/>
      <c r="S43" s="65">
        <v>564000</v>
      </c>
      <c r="T43" s="63"/>
      <c r="U43" s="65">
        <v>585000</v>
      </c>
    </row>
    <row r="44" spans="1:21" ht="34.9" customHeight="1">
      <c r="A44" s="403"/>
      <c r="B44" s="71" t="s">
        <v>12</v>
      </c>
      <c r="C44" s="20">
        <v>762</v>
      </c>
      <c r="D44" s="21"/>
      <c r="E44" s="29">
        <v>762000</v>
      </c>
      <c r="F44" s="6">
        <f t="shared" si="9"/>
        <v>762</v>
      </c>
      <c r="G44" s="6">
        <f t="shared" si="10"/>
        <v>0</v>
      </c>
      <c r="H44" s="68">
        <v>778</v>
      </c>
      <c r="I44" s="68"/>
      <c r="J44" s="68">
        <f t="shared" si="14"/>
        <v>778000</v>
      </c>
      <c r="K44" s="65">
        <v>778</v>
      </c>
      <c r="L44" s="65">
        <f t="shared" si="15"/>
        <v>778000</v>
      </c>
      <c r="M44" s="65">
        <v>778</v>
      </c>
      <c r="N44" s="65">
        <f t="shared" si="16"/>
        <v>778000</v>
      </c>
      <c r="O44" s="6" t="s">
        <v>62</v>
      </c>
      <c r="P44" s="63"/>
      <c r="Q44" s="68">
        <v>778000</v>
      </c>
      <c r="R44" s="63"/>
      <c r="S44" s="65">
        <v>778000</v>
      </c>
      <c r="T44" s="63"/>
      <c r="U44" s="65">
        <v>778000</v>
      </c>
    </row>
    <row r="45" spans="1:21" ht="40.9" customHeight="1">
      <c r="A45" s="403"/>
      <c r="B45" s="42" t="s">
        <v>86</v>
      </c>
      <c r="C45" s="20">
        <v>442</v>
      </c>
      <c r="D45" s="21"/>
      <c r="E45" s="29">
        <v>442000</v>
      </c>
      <c r="F45" s="6">
        <f t="shared" si="9"/>
        <v>442</v>
      </c>
      <c r="G45" s="6">
        <f t="shared" si="10"/>
        <v>0</v>
      </c>
      <c r="H45" s="74">
        <v>518</v>
      </c>
      <c r="I45" s="74"/>
      <c r="J45" s="68">
        <f t="shared" si="14"/>
        <v>518000</v>
      </c>
      <c r="K45" s="75">
        <v>518</v>
      </c>
      <c r="L45" s="65">
        <f t="shared" si="15"/>
        <v>518000</v>
      </c>
      <c r="M45" s="75">
        <v>518</v>
      </c>
      <c r="N45" s="65">
        <f t="shared" si="16"/>
        <v>518000</v>
      </c>
      <c r="O45" s="6" t="s">
        <v>62</v>
      </c>
      <c r="P45" s="63"/>
      <c r="Q45" s="68">
        <v>518000</v>
      </c>
      <c r="R45" s="63"/>
      <c r="S45" s="65">
        <v>518000</v>
      </c>
      <c r="T45" s="63"/>
      <c r="U45" s="65">
        <v>518000</v>
      </c>
    </row>
    <row r="46" spans="1:21" ht="34.9" customHeight="1">
      <c r="A46" s="70" t="s">
        <v>45</v>
      </c>
      <c r="B46" s="93" t="s">
        <v>13</v>
      </c>
      <c r="C46" s="20">
        <v>25623</v>
      </c>
      <c r="D46" s="21"/>
      <c r="E46" s="29">
        <v>25623000</v>
      </c>
      <c r="F46" s="6">
        <f t="shared" si="9"/>
        <v>25623</v>
      </c>
      <c r="G46" s="6">
        <f t="shared" si="10"/>
        <v>0</v>
      </c>
      <c r="H46" s="68">
        <v>24886</v>
      </c>
      <c r="I46" s="68"/>
      <c r="J46" s="68">
        <f t="shared" si="14"/>
        <v>24886000</v>
      </c>
      <c r="K46" s="65">
        <v>25882</v>
      </c>
      <c r="L46" s="65">
        <f t="shared" si="15"/>
        <v>25882000</v>
      </c>
      <c r="M46" s="65">
        <v>26917</v>
      </c>
      <c r="N46" s="65">
        <f t="shared" si="16"/>
        <v>26917000</v>
      </c>
      <c r="O46" s="6" t="s">
        <v>60</v>
      </c>
      <c r="P46" s="63"/>
      <c r="Q46" s="68">
        <v>24886000</v>
      </c>
      <c r="R46" s="63"/>
      <c r="S46" s="65">
        <v>25882000</v>
      </c>
      <c r="T46" s="63"/>
      <c r="U46" s="65">
        <v>26917000</v>
      </c>
    </row>
    <row r="47" spans="1:21" ht="47.45" customHeight="1">
      <c r="A47" s="70" t="s">
        <v>46</v>
      </c>
      <c r="B47" s="93" t="s">
        <v>14</v>
      </c>
      <c r="C47" s="20">
        <v>3449</v>
      </c>
      <c r="D47" s="21"/>
      <c r="E47" s="29">
        <v>3449000</v>
      </c>
      <c r="F47" s="6">
        <f t="shared" si="9"/>
        <v>3449</v>
      </c>
      <c r="G47" s="6">
        <f t="shared" si="10"/>
        <v>0</v>
      </c>
      <c r="H47" s="68">
        <v>3673</v>
      </c>
      <c r="I47" s="68"/>
      <c r="J47" s="68">
        <f t="shared" si="14"/>
        <v>3673000</v>
      </c>
      <c r="K47" s="65">
        <v>3673</v>
      </c>
      <c r="L47" s="65">
        <f t="shared" si="15"/>
        <v>3673000</v>
      </c>
      <c r="M47" s="65">
        <v>3673</v>
      </c>
      <c r="N47" s="65">
        <f t="shared" si="16"/>
        <v>3673000</v>
      </c>
      <c r="O47" s="6" t="s">
        <v>60</v>
      </c>
      <c r="P47" s="63"/>
      <c r="Q47" s="68">
        <v>3673000</v>
      </c>
      <c r="R47" s="63"/>
      <c r="S47" s="65">
        <v>3673000</v>
      </c>
      <c r="T47" s="63"/>
      <c r="U47" s="65">
        <v>3673000</v>
      </c>
    </row>
    <row r="48" spans="1:21" ht="36" customHeight="1">
      <c r="A48" s="70" t="s">
        <v>47</v>
      </c>
      <c r="B48" s="86" t="s">
        <v>107</v>
      </c>
      <c r="C48" s="20">
        <v>5821</v>
      </c>
      <c r="D48" s="21"/>
      <c r="E48" s="29">
        <v>5820994</v>
      </c>
      <c r="F48" s="6">
        <f t="shared" si="9"/>
        <v>5820.9939999999997</v>
      </c>
      <c r="G48" s="6">
        <f t="shared" si="10"/>
        <v>-6.0000000003128662E-3</v>
      </c>
      <c r="H48" s="74">
        <f>2835.56+2848.43</f>
        <v>5683.99</v>
      </c>
      <c r="I48" s="74"/>
      <c r="J48" s="68">
        <f>P48+Q48</f>
        <v>5683999.3399999999</v>
      </c>
      <c r="K48" s="75">
        <f>3699+3954</f>
        <v>7653</v>
      </c>
      <c r="L48" s="65">
        <f t="shared" si="15"/>
        <v>7653000</v>
      </c>
      <c r="M48" s="75">
        <f>3677+3395</f>
        <v>7072</v>
      </c>
      <c r="N48" s="65">
        <f t="shared" si="16"/>
        <v>7072000</v>
      </c>
      <c r="O48" s="6" t="s">
        <v>63</v>
      </c>
      <c r="P48" s="77">
        <f>2835559.34-255200.34</f>
        <v>2580359</v>
      </c>
      <c r="Q48" s="77">
        <f>2848440+255200.34</f>
        <v>3103640.34</v>
      </c>
      <c r="R48" s="63">
        <v>3699000</v>
      </c>
      <c r="S48" s="63">
        <v>3954000</v>
      </c>
      <c r="T48" s="63">
        <v>3395000</v>
      </c>
      <c r="U48" s="63">
        <v>3677000</v>
      </c>
    </row>
    <row r="49" spans="1:21" ht="26.45" customHeight="1">
      <c r="A49" s="70" t="s">
        <v>48</v>
      </c>
      <c r="B49" s="86" t="s">
        <v>16</v>
      </c>
      <c r="C49" s="20">
        <v>145</v>
      </c>
      <c r="D49" s="21"/>
      <c r="E49" s="29">
        <v>145000</v>
      </c>
      <c r="F49" s="6">
        <f t="shared" si="9"/>
        <v>145</v>
      </c>
      <c r="G49" s="6">
        <f t="shared" si="10"/>
        <v>0</v>
      </c>
      <c r="H49" s="65">
        <v>110</v>
      </c>
      <c r="I49" s="65"/>
      <c r="J49" s="65">
        <f t="shared" si="14"/>
        <v>110000</v>
      </c>
      <c r="K49" s="65">
        <v>110</v>
      </c>
      <c r="L49" s="65">
        <f t="shared" si="15"/>
        <v>110000</v>
      </c>
      <c r="M49" s="65">
        <v>110</v>
      </c>
      <c r="N49" s="65">
        <f t="shared" si="16"/>
        <v>110000</v>
      </c>
      <c r="O49" s="6" t="s">
        <v>64</v>
      </c>
      <c r="P49" s="63"/>
      <c r="Q49" s="65">
        <v>110000</v>
      </c>
      <c r="R49" s="63"/>
      <c r="S49" s="65">
        <v>110000</v>
      </c>
      <c r="T49" s="63"/>
      <c r="U49" s="65">
        <v>110000</v>
      </c>
    </row>
    <row r="50" spans="1:21" ht="24.75">
      <c r="A50" s="43" t="s">
        <v>65</v>
      </c>
      <c r="B50" s="44" t="s">
        <v>108</v>
      </c>
      <c r="C50" s="21"/>
      <c r="D50" s="21"/>
      <c r="E50" s="29"/>
      <c r="F50" s="6">
        <f t="shared" si="9"/>
        <v>0</v>
      </c>
      <c r="G50" s="6">
        <f t="shared" si="10"/>
        <v>0</v>
      </c>
      <c r="H50" s="78">
        <v>962</v>
      </c>
      <c r="I50" s="76"/>
      <c r="J50" s="68">
        <f t="shared" si="14"/>
        <v>962000</v>
      </c>
      <c r="K50" s="66"/>
      <c r="L50" s="65">
        <f t="shared" si="15"/>
        <v>0</v>
      </c>
      <c r="M50" s="66"/>
      <c r="N50" s="65">
        <f t="shared" si="16"/>
        <v>0</v>
      </c>
      <c r="O50" s="6" t="s">
        <v>61</v>
      </c>
      <c r="P50" s="77">
        <v>962000</v>
      </c>
      <c r="Q50" s="76"/>
      <c r="R50" s="63"/>
      <c r="S50" s="63"/>
      <c r="T50" s="63"/>
      <c r="U50" s="63"/>
    </row>
    <row r="51" spans="1:21" ht="48.75">
      <c r="A51" s="101" t="s">
        <v>114</v>
      </c>
      <c r="B51" s="100" t="s">
        <v>115</v>
      </c>
      <c r="C51" s="21"/>
      <c r="D51" s="21"/>
      <c r="E51" s="29"/>
      <c r="F51" s="6"/>
      <c r="G51" s="6"/>
      <c r="H51" s="78">
        <v>12458</v>
      </c>
      <c r="I51" s="76">
        <v>12458</v>
      </c>
      <c r="J51" s="68">
        <f t="shared" si="14"/>
        <v>12458000</v>
      </c>
      <c r="K51" s="66"/>
      <c r="L51" s="65"/>
      <c r="M51" s="66"/>
      <c r="N51" s="65"/>
      <c r="O51" s="6"/>
      <c r="P51" s="77">
        <v>12458000</v>
      </c>
      <c r="Q51" s="76"/>
      <c r="R51" s="63"/>
      <c r="S51" s="63"/>
      <c r="T51" s="63"/>
      <c r="U51" s="63"/>
    </row>
    <row r="52" spans="1:21" ht="24.75">
      <c r="A52" s="43" t="s">
        <v>73</v>
      </c>
      <c r="B52" s="44" t="s">
        <v>72</v>
      </c>
      <c r="C52" s="49"/>
      <c r="D52" s="49"/>
      <c r="E52" s="50"/>
      <c r="F52" s="51">
        <f t="shared" si="9"/>
        <v>0</v>
      </c>
      <c r="G52" s="51">
        <f t="shared" si="10"/>
        <v>0</v>
      </c>
      <c r="H52" s="66"/>
      <c r="I52" s="66"/>
      <c r="J52" s="65">
        <f t="shared" si="14"/>
        <v>0</v>
      </c>
      <c r="K52" s="66">
        <v>1000</v>
      </c>
      <c r="L52" s="65">
        <f t="shared" si="15"/>
        <v>1000000</v>
      </c>
      <c r="M52" s="66"/>
      <c r="N52" s="65">
        <f t="shared" si="16"/>
        <v>0</v>
      </c>
      <c r="O52" s="6" t="s">
        <v>64</v>
      </c>
      <c r="P52" s="63"/>
      <c r="Q52" s="63"/>
      <c r="R52" s="63">
        <v>1000000</v>
      </c>
      <c r="S52" s="63"/>
      <c r="T52" s="63"/>
      <c r="U52" s="63"/>
    </row>
    <row r="53" spans="1:21" ht="24">
      <c r="A53" s="70" t="s">
        <v>49</v>
      </c>
      <c r="B53" s="10" t="s">
        <v>18</v>
      </c>
      <c r="C53" s="21">
        <f>180+360</f>
        <v>540</v>
      </c>
      <c r="D53" s="21">
        <v>360</v>
      </c>
      <c r="E53" s="29">
        <f>180000+360000</f>
        <v>540000</v>
      </c>
      <c r="F53" s="6">
        <f t="shared" si="9"/>
        <v>540</v>
      </c>
      <c r="G53" s="6">
        <f t="shared" si="10"/>
        <v>0</v>
      </c>
      <c r="H53" s="65"/>
      <c r="I53" s="65"/>
      <c r="J53" s="65">
        <f t="shared" si="14"/>
        <v>0</v>
      </c>
      <c r="K53" s="65"/>
      <c r="L53" s="65"/>
      <c r="M53" s="67"/>
      <c r="N53" s="65">
        <f t="shared" si="16"/>
        <v>0</v>
      </c>
      <c r="O53" s="6"/>
      <c r="P53" s="63"/>
      <c r="Q53" s="63"/>
      <c r="R53" s="63"/>
      <c r="S53" s="63"/>
      <c r="T53" s="63"/>
      <c r="U53" s="63"/>
    </row>
    <row r="54" spans="1:21" ht="16.899999999999999" customHeight="1">
      <c r="A54" s="45" t="s">
        <v>55</v>
      </c>
      <c r="B54" s="55" t="s">
        <v>56</v>
      </c>
      <c r="C54" s="33">
        <f>3208.7+534.9</f>
        <v>3743.6</v>
      </c>
      <c r="D54" s="34"/>
      <c r="E54" s="35">
        <f>3208759+534875</f>
        <v>3743634</v>
      </c>
      <c r="F54" s="6">
        <f t="shared" si="9"/>
        <v>3743.634</v>
      </c>
      <c r="G54" s="6">
        <f t="shared" si="10"/>
        <v>3.4000000000105501E-2</v>
      </c>
      <c r="H54" s="95">
        <v>25000</v>
      </c>
      <c r="I54" s="95">
        <v>25000</v>
      </c>
      <c r="J54" s="65">
        <f t="shared" si="14"/>
        <v>25000000</v>
      </c>
      <c r="K54" s="65"/>
      <c r="L54" s="65"/>
      <c r="M54" s="65"/>
      <c r="N54" s="65">
        <f t="shared" si="16"/>
        <v>0</v>
      </c>
      <c r="O54" s="6"/>
      <c r="P54" s="63"/>
      <c r="Q54" s="63">
        <v>25000000</v>
      </c>
      <c r="R54" s="63"/>
      <c r="S54" s="63"/>
      <c r="T54" s="63"/>
      <c r="U54" s="63"/>
    </row>
    <row r="55" spans="1:21">
      <c r="C55" s="22">
        <f>C6</f>
        <v>864721.7</v>
      </c>
      <c r="D55" s="22">
        <f>D6</f>
        <v>360</v>
      </c>
      <c r="E55" s="22">
        <f>E6</f>
        <v>864721718.66999996</v>
      </c>
      <c r="F55" s="22">
        <f>F6</f>
        <v>832206.21461999987</v>
      </c>
      <c r="G55" s="22">
        <f>G6</f>
        <v>0.11462000000285499</v>
      </c>
      <c r="H55" s="46"/>
      <c r="I55" s="46"/>
      <c r="J55" s="46"/>
      <c r="K55" s="46"/>
      <c r="L55" s="46"/>
      <c r="M55" s="46"/>
      <c r="N55" s="65">
        <f t="shared" si="16"/>
        <v>0</v>
      </c>
      <c r="O55" s="6"/>
      <c r="P55" s="6"/>
      <c r="Q55" s="6"/>
      <c r="R55" s="6"/>
      <c r="S55" s="6"/>
      <c r="T55" s="6"/>
      <c r="U55" s="6"/>
    </row>
    <row r="56" spans="1:21">
      <c r="C56" s="6">
        <f>C6-C55</f>
        <v>0</v>
      </c>
      <c r="D56" s="6">
        <f>D6-D55</f>
        <v>0</v>
      </c>
      <c r="E56" s="6">
        <f>E6-E55</f>
        <v>0</v>
      </c>
      <c r="H56" s="46"/>
      <c r="I56" s="46"/>
      <c r="J56" s="46"/>
      <c r="K56" s="46"/>
      <c r="L56" s="46"/>
      <c r="M56" s="46"/>
      <c r="N56" s="65">
        <f t="shared" si="16"/>
        <v>0</v>
      </c>
      <c r="O56" s="6"/>
      <c r="P56" s="6"/>
      <c r="Q56" s="6"/>
      <c r="R56" s="6"/>
      <c r="S56" s="6"/>
      <c r="T56" s="6"/>
      <c r="U56" s="6"/>
    </row>
    <row r="57" spans="1:21">
      <c r="A57" s="3" t="s">
        <v>71</v>
      </c>
      <c r="C57" s="6"/>
      <c r="D57" s="6"/>
      <c r="E57" s="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</row>
    <row r="58" spans="1:21">
      <c r="A58" s="3" t="s">
        <v>61</v>
      </c>
      <c r="C58" s="6"/>
      <c r="D58" s="6"/>
      <c r="E58" s="6"/>
      <c r="H58" s="46">
        <f>H19+H17+H27+H28+H29+H40+H41+H42+H43+H50+H7</f>
        <v>39974</v>
      </c>
      <c r="I58" s="46"/>
      <c r="J58" s="46">
        <f t="shared" ref="J58:U58" si="21">J19+J17+J27+J28+J29+J40+J41+J42+J43+J50+J7</f>
        <v>39974000</v>
      </c>
      <c r="K58" s="46">
        <f t="shared" si="21"/>
        <v>16482</v>
      </c>
      <c r="L58" s="46">
        <f t="shared" si="21"/>
        <v>16482000</v>
      </c>
      <c r="M58" s="46">
        <f t="shared" si="21"/>
        <v>25316</v>
      </c>
      <c r="N58" s="46">
        <f t="shared" si="21"/>
        <v>25316000</v>
      </c>
      <c r="O58" s="46" t="e">
        <f t="shared" si="21"/>
        <v>#VALUE!</v>
      </c>
      <c r="P58" s="46">
        <f t="shared" si="21"/>
        <v>13566718.34</v>
      </c>
      <c r="Q58" s="46">
        <f t="shared" si="21"/>
        <v>26407281.66</v>
      </c>
      <c r="R58" s="46">
        <f t="shared" si="21"/>
        <v>13207000</v>
      </c>
      <c r="S58" s="46">
        <f t="shared" si="21"/>
        <v>3275000</v>
      </c>
      <c r="T58" s="46">
        <f t="shared" si="21"/>
        <v>21854000</v>
      </c>
      <c r="U58" s="46">
        <f t="shared" si="21"/>
        <v>3462000</v>
      </c>
    </row>
    <row r="59" spans="1:21">
      <c r="A59" s="3" t="s">
        <v>63</v>
      </c>
      <c r="H59" s="46">
        <f>H48</f>
        <v>5683.99</v>
      </c>
      <c r="I59" s="46"/>
      <c r="J59" s="46">
        <f t="shared" ref="J59:U59" si="22">J48</f>
        <v>5683999.3399999999</v>
      </c>
      <c r="K59" s="46">
        <f t="shared" si="22"/>
        <v>7653</v>
      </c>
      <c r="L59" s="46">
        <f t="shared" si="22"/>
        <v>7653000</v>
      </c>
      <c r="M59" s="46">
        <f t="shared" si="22"/>
        <v>7072</v>
      </c>
      <c r="N59" s="46">
        <f t="shared" si="22"/>
        <v>7072000</v>
      </c>
      <c r="O59" s="46" t="str">
        <f t="shared" si="22"/>
        <v>дагн</v>
      </c>
      <c r="P59" s="46">
        <f t="shared" si="22"/>
        <v>2580359</v>
      </c>
      <c r="Q59" s="46">
        <f t="shared" si="22"/>
        <v>3103640.34</v>
      </c>
      <c r="R59" s="46">
        <f t="shared" si="22"/>
        <v>3699000</v>
      </c>
      <c r="S59" s="46">
        <f t="shared" si="22"/>
        <v>3954000</v>
      </c>
      <c r="T59" s="46">
        <f t="shared" si="22"/>
        <v>3395000</v>
      </c>
      <c r="U59" s="46">
        <f t="shared" si="22"/>
        <v>3677000</v>
      </c>
    </row>
    <row r="60" spans="1:21">
      <c r="A60" s="3" t="s">
        <v>60</v>
      </c>
      <c r="B60" s="3">
        <f>2835560+2848781</f>
        <v>5684341</v>
      </c>
      <c r="H60" s="46">
        <f>H14+H23+H24+H26+H37+H38+H39+H46+H47</f>
        <v>769668.46</v>
      </c>
      <c r="I60" s="46"/>
      <c r="J60" s="46">
        <f t="shared" ref="J60:U60" si="23">J14+J23+J24+J26+J37+J38+J39+J46+J47</f>
        <v>769668460</v>
      </c>
      <c r="K60" s="46">
        <f t="shared" si="23"/>
        <v>698807.8</v>
      </c>
      <c r="L60" s="46">
        <f t="shared" si="23"/>
        <v>698807794</v>
      </c>
      <c r="M60" s="46">
        <f t="shared" si="23"/>
        <v>771371</v>
      </c>
      <c r="N60" s="46">
        <f t="shared" si="23"/>
        <v>771471000</v>
      </c>
      <c r="O60" s="46" t="e">
        <f t="shared" si="23"/>
        <v>#VALUE!</v>
      </c>
      <c r="P60" s="46">
        <f t="shared" si="23"/>
        <v>0</v>
      </c>
      <c r="Q60" s="46">
        <f t="shared" si="23"/>
        <v>769668460</v>
      </c>
      <c r="R60" s="46">
        <f t="shared" si="23"/>
        <v>1954013</v>
      </c>
      <c r="S60" s="46">
        <f t="shared" si="23"/>
        <v>696853781</v>
      </c>
      <c r="T60" s="46">
        <f t="shared" si="23"/>
        <v>0</v>
      </c>
      <c r="U60" s="46">
        <f t="shared" si="23"/>
        <v>771471000</v>
      </c>
    </row>
    <row r="61" spans="1:21">
      <c r="A61" s="3" t="s">
        <v>64</v>
      </c>
      <c r="H61" s="46">
        <f>H18+H49+H52</f>
        <v>4134.2</v>
      </c>
      <c r="I61" s="46"/>
      <c r="J61" s="46">
        <f t="shared" ref="J61:U61" si="24">J18+J49+J52</f>
        <v>4134176</v>
      </c>
      <c r="K61" s="46">
        <f t="shared" si="24"/>
        <v>1110</v>
      </c>
      <c r="L61" s="46">
        <f t="shared" si="24"/>
        <v>1110000</v>
      </c>
      <c r="M61" s="46">
        <f t="shared" si="24"/>
        <v>110</v>
      </c>
      <c r="N61" s="46">
        <f t="shared" si="24"/>
        <v>110000</v>
      </c>
      <c r="O61" s="46" t="e">
        <f t="shared" si="24"/>
        <v>#VALUE!</v>
      </c>
      <c r="P61" s="46">
        <f t="shared" si="24"/>
        <v>3662000</v>
      </c>
      <c r="Q61" s="46">
        <f t="shared" si="24"/>
        <v>472176</v>
      </c>
      <c r="R61" s="46">
        <f t="shared" si="24"/>
        <v>1000000</v>
      </c>
      <c r="S61" s="46">
        <f t="shared" si="24"/>
        <v>110000</v>
      </c>
      <c r="T61" s="46">
        <f t="shared" si="24"/>
        <v>0</v>
      </c>
      <c r="U61" s="46">
        <f t="shared" si="24"/>
        <v>110000</v>
      </c>
    </row>
    <row r="62" spans="1:21">
      <c r="A62" s="3" t="s">
        <v>62</v>
      </c>
      <c r="H62" s="46">
        <f>H11+H20+H15+H44+H45</f>
        <v>42332</v>
      </c>
      <c r="I62" s="46"/>
      <c r="J62" s="46">
        <f t="shared" ref="J62:U62" si="25">J11+J20+J15+J44+J45</f>
        <v>42331993.789999999</v>
      </c>
      <c r="K62" s="46">
        <f t="shared" si="25"/>
        <v>37407.4</v>
      </c>
      <c r="L62" s="46">
        <f t="shared" si="25"/>
        <v>37407435.07</v>
      </c>
      <c r="M62" s="46">
        <f t="shared" si="25"/>
        <v>39439.599999999999</v>
      </c>
      <c r="N62" s="46">
        <f t="shared" si="25"/>
        <v>39439631.760000005</v>
      </c>
      <c r="O62" s="46" t="e">
        <f t="shared" si="25"/>
        <v>#VALUE!</v>
      </c>
      <c r="P62" s="46">
        <f t="shared" si="25"/>
        <v>17004233.859999999</v>
      </c>
      <c r="Q62" s="46">
        <f t="shared" si="25"/>
        <v>25327759.93</v>
      </c>
      <c r="R62" s="46">
        <f t="shared" si="25"/>
        <v>17930239.969999999</v>
      </c>
      <c r="S62" s="46">
        <f t="shared" si="25"/>
        <v>19477195.100000001</v>
      </c>
      <c r="T62" s="46">
        <f t="shared" si="25"/>
        <v>19767211.280000001</v>
      </c>
      <c r="U62" s="46">
        <f t="shared" si="25"/>
        <v>19672420.48</v>
      </c>
    </row>
    <row r="63" spans="1:21" hidden="1"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</row>
    <row r="64" spans="1:21">
      <c r="H64" s="53">
        <f>SUM(H57:H63)</f>
        <v>861792.64999999991</v>
      </c>
      <c r="I64" s="53"/>
      <c r="J64" s="53">
        <f t="shared" ref="J64:U64" si="26">SUM(J57:J63)</f>
        <v>861792629.13</v>
      </c>
      <c r="K64" s="53">
        <f t="shared" si="26"/>
        <v>761460.20000000007</v>
      </c>
      <c r="L64" s="53">
        <f t="shared" si="26"/>
        <v>761460229.07000005</v>
      </c>
      <c r="M64" s="53">
        <f t="shared" si="26"/>
        <v>843308.6</v>
      </c>
      <c r="N64" s="53">
        <f t="shared" si="26"/>
        <v>843408631.75999999</v>
      </c>
      <c r="O64" s="53" t="e">
        <f t="shared" si="26"/>
        <v>#VALUE!</v>
      </c>
      <c r="P64" s="53">
        <f t="shared" si="26"/>
        <v>36813311.200000003</v>
      </c>
      <c r="Q64" s="53">
        <f t="shared" si="26"/>
        <v>824979317.92999995</v>
      </c>
      <c r="R64" s="53">
        <f t="shared" si="26"/>
        <v>37790252.969999999</v>
      </c>
      <c r="S64" s="53">
        <f t="shared" si="26"/>
        <v>723669976.10000002</v>
      </c>
      <c r="T64" s="53">
        <f t="shared" si="26"/>
        <v>45016211.280000001</v>
      </c>
      <c r="U64" s="53">
        <f t="shared" si="26"/>
        <v>798392420.48000002</v>
      </c>
    </row>
    <row r="65" spans="1:21" hidden="1"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</row>
    <row r="66" spans="1:21" hidden="1"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</row>
    <row r="67" spans="1:21">
      <c r="A67" s="3">
        <v>0</v>
      </c>
      <c r="H67" s="46">
        <f>H64-H5</f>
        <v>-71643.470000000088</v>
      </c>
      <c r="I67" s="46"/>
      <c r="J67" s="46">
        <f>J64-J5</f>
        <v>-71643475.000000119</v>
      </c>
      <c r="K67" s="46">
        <f t="shared" ref="K67:U67" si="27">K64-K5</f>
        <v>0</v>
      </c>
      <c r="L67" s="46">
        <f t="shared" si="27"/>
        <v>0</v>
      </c>
      <c r="M67" s="46">
        <f t="shared" si="27"/>
        <v>0</v>
      </c>
      <c r="N67" s="46">
        <f t="shared" si="27"/>
        <v>0</v>
      </c>
      <c r="O67" s="46" t="e">
        <f t="shared" si="27"/>
        <v>#VALUE!</v>
      </c>
      <c r="P67" s="46">
        <f t="shared" si="27"/>
        <v>-25254415</v>
      </c>
      <c r="Q67" s="46">
        <f t="shared" si="27"/>
        <v>-46389060.000000119</v>
      </c>
      <c r="R67" s="46">
        <f t="shared" si="27"/>
        <v>1000000</v>
      </c>
      <c r="S67" s="46">
        <f t="shared" si="27"/>
        <v>0</v>
      </c>
      <c r="T67" s="46">
        <f t="shared" si="27"/>
        <v>0</v>
      </c>
      <c r="U67" s="46">
        <f t="shared" si="27"/>
        <v>0</v>
      </c>
    </row>
  </sheetData>
  <mergeCells count="22">
    <mergeCell ref="A37:A45"/>
    <mergeCell ref="M35:M36"/>
    <mergeCell ref="K35:K36"/>
    <mergeCell ref="J35:J36"/>
    <mergeCell ref="L35:L36"/>
    <mergeCell ref="I35:I36"/>
    <mergeCell ref="U35:U36"/>
    <mergeCell ref="H35:H36"/>
    <mergeCell ref="A1:E1"/>
    <mergeCell ref="A2:E2"/>
    <mergeCell ref="A3:E3"/>
    <mergeCell ref="A35:A36"/>
    <mergeCell ref="B35:B36"/>
    <mergeCell ref="C35:C36"/>
    <mergeCell ref="D35:D36"/>
    <mergeCell ref="E35:E36"/>
    <mergeCell ref="P35:P36"/>
    <mergeCell ref="Q35:Q36"/>
    <mergeCell ref="R35:R36"/>
    <mergeCell ref="S35:S36"/>
    <mergeCell ref="T35:T36"/>
    <mergeCell ref="N35:N36"/>
  </mergeCells>
  <pageMargins left="0" right="0" top="0" bottom="0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/>
  </sheetPr>
  <dimension ref="A1:AQ115"/>
  <sheetViews>
    <sheetView zoomScaleNormal="100" workbookViewId="0">
      <pane xSplit="7" ySplit="4" topLeftCell="S18" activePane="bottomRight" state="frozen"/>
      <selection pane="topRight" activeCell="H1" sqref="H1"/>
      <selection pane="bottomLeft" activeCell="A5" sqref="A5"/>
      <selection pane="bottomRight" activeCell="AW14" sqref="AW14"/>
    </sheetView>
  </sheetViews>
  <sheetFormatPr defaultColWidth="8.85546875" defaultRowHeight="15"/>
  <cols>
    <col min="1" max="1" width="21.5703125" style="189" hidden="1" customWidth="1"/>
    <col min="2" max="2" width="81.85546875" style="189" customWidth="1"/>
    <col min="3" max="3" width="17.85546875" style="189" hidden="1" customWidth="1"/>
    <col min="4" max="4" width="16.140625" style="189" hidden="1" customWidth="1"/>
    <col min="5" max="5" width="18.5703125" style="189" hidden="1" customWidth="1"/>
    <col min="6" max="6" width="11.7109375" style="189" hidden="1" customWidth="1"/>
    <col min="7" max="7" width="11" style="189" hidden="1" customWidth="1"/>
    <col min="8" max="10" width="14.28515625" style="189" hidden="1" customWidth="1"/>
    <col min="11" max="11" width="13.7109375" style="189" hidden="1" customWidth="1"/>
    <col min="12" max="15" width="14.85546875" style="189" hidden="1" customWidth="1"/>
    <col min="16" max="16" width="0.140625" style="189" hidden="1" customWidth="1"/>
    <col min="17" max="18" width="14.85546875" style="189" hidden="1" customWidth="1"/>
    <col min="19" max="19" width="15.140625" style="189" hidden="1" customWidth="1"/>
    <col min="20" max="20" width="15.140625" style="189" customWidth="1"/>
    <col min="21" max="21" width="13.5703125" style="189" hidden="1" customWidth="1"/>
    <col min="22" max="22" width="15.140625" style="189" hidden="1" customWidth="1"/>
    <col min="23" max="24" width="15.140625" style="189" customWidth="1"/>
    <col min="25" max="27" width="15.42578125" style="189" hidden="1" customWidth="1"/>
    <col min="28" max="28" width="15.140625" style="189" hidden="1" customWidth="1"/>
    <col min="29" max="29" width="7.28515625" style="189" hidden="1" customWidth="1"/>
    <col min="30" max="30" width="14.42578125" style="189" hidden="1" customWidth="1"/>
    <col min="31" max="31" width="15.7109375" style="189" hidden="1" customWidth="1"/>
    <col min="32" max="33" width="13.28515625" style="189" hidden="1" customWidth="1"/>
    <col min="34" max="35" width="14.7109375" style="189" hidden="1" customWidth="1"/>
    <col min="36" max="36" width="13.7109375" style="189" hidden="1" customWidth="1"/>
    <col min="37" max="37" width="12.28515625" style="189" hidden="1" customWidth="1"/>
    <col min="38" max="38" width="15.28515625" style="189" hidden="1" customWidth="1"/>
    <col min="39" max="39" width="16" style="189" hidden="1" customWidth="1"/>
    <col min="40" max="40" width="13.5703125" style="189" hidden="1" customWidth="1"/>
    <col min="41" max="41" width="15.7109375" style="189" hidden="1" customWidth="1"/>
    <col min="42" max="42" width="25.140625" style="189" customWidth="1"/>
    <col min="43" max="43" width="11.28515625" style="189" customWidth="1"/>
    <col min="44" max="16384" width="8.85546875" style="189"/>
  </cols>
  <sheetData>
    <row r="1" spans="1:42" ht="12" customHeight="1">
      <c r="A1" s="404" t="s">
        <v>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394"/>
      <c r="U1" s="394"/>
      <c r="V1" s="394"/>
      <c r="W1" s="394"/>
      <c r="X1" s="394"/>
      <c r="Y1" s="394"/>
      <c r="Z1" s="394"/>
      <c r="AA1" s="394"/>
      <c r="AB1" s="394"/>
    </row>
    <row r="2" spans="1:42" ht="12" customHeight="1">
      <c r="A2" s="404" t="s">
        <v>1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394"/>
      <c r="U2" s="394"/>
      <c r="V2" s="394"/>
      <c r="W2" s="394"/>
      <c r="X2" s="394"/>
      <c r="Y2" s="394"/>
      <c r="Z2" s="394"/>
      <c r="AA2" s="394"/>
      <c r="AB2" s="394"/>
    </row>
    <row r="3" spans="1:42" ht="12" customHeight="1">
      <c r="A3" s="405" t="s">
        <v>210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243"/>
      <c r="U3" s="395"/>
      <c r="V3" s="243"/>
      <c r="W3" s="243"/>
      <c r="X3" s="243"/>
      <c r="Y3" s="395"/>
      <c r="Z3" s="395"/>
      <c r="AA3" s="395"/>
      <c r="AB3" s="395"/>
      <c r="AC3" s="199" t="s">
        <v>135</v>
      </c>
      <c r="AO3" s="189" t="s">
        <v>205</v>
      </c>
    </row>
    <row r="4" spans="1:42" ht="53.25" customHeight="1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H4" s="126">
        <v>2020</v>
      </c>
      <c r="I4" s="200">
        <v>2020</v>
      </c>
      <c r="J4" s="126">
        <v>2021</v>
      </c>
      <c r="K4" s="126">
        <v>2021</v>
      </c>
      <c r="L4" s="190">
        <v>2022</v>
      </c>
      <c r="M4" s="190" t="s">
        <v>117</v>
      </c>
      <c r="N4" s="190">
        <v>2022</v>
      </c>
      <c r="O4" s="190"/>
      <c r="P4" s="190"/>
      <c r="Q4" s="242">
        <v>2023</v>
      </c>
      <c r="R4" s="191" t="s">
        <v>180</v>
      </c>
      <c r="S4" s="241">
        <v>2024</v>
      </c>
      <c r="T4" s="191">
        <v>2024</v>
      </c>
      <c r="U4" s="241">
        <v>2025</v>
      </c>
      <c r="V4" s="191">
        <v>2025</v>
      </c>
      <c r="W4" s="379" t="s">
        <v>206</v>
      </c>
      <c r="X4" s="379" t="s">
        <v>209</v>
      </c>
      <c r="Y4" s="380">
        <v>2026</v>
      </c>
      <c r="Z4" s="379" t="s">
        <v>207</v>
      </c>
      <c r="AA4" s="379" t="s">
        <v>209</v>
      </c>
      <c r="AB4" s="381" t="s">
        <v>208</v>
      </c>
      <c r="AC4" s="199"/>
      <c r="AD4" s="192" t="s">
        <v>121</v>
      </c>
      <c r="AE4" s="193" t="s">
        <v>122</v>
      </c>
      <c r="AF4" s="192" t="s">
        <v>129</v>
      </c>
      <c r="AG4" s="192" t="s">
        <v>198</v>
      </c>
      <c r="AH4" s="193" t="s">
        <v>130</v>
      </c>
      <c r="AI4" s="193" t="s">
        <v>199</v>
      </c>
      <c r="AJ4" s="192" t="s">
        <v>159</v>
      </c>
      <c r="AK4" s="192" t="s">
        <v>159</v>
      </c>
      <c r="AL4" s="193" t="s">
        <v>158</v>
      </c>
      <c r="AM4" s="193" t="s">
        <v>200</v>
      </c>
      <c r="AN4" s="193" t="s">
        <v>201</v>
      </c>
      <c r="AO4" s="193" t="s">
        <v>202</v>
      </c>
    </row>
    <row r="5" spans="1:42">
      <c r="A5" s="171" t="s">
        <v>57</v>
      </c>
      <c r="B5" s="113" t="s">
        <v>58</v>
      </c>
      <c r="C5" s="16">
        <f t="shared" ref="C5:K5" si="0">C6-C82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25">
        <f>L6+L82</f>
        <v>1187276261.7199998</v>
      </c>
      <c r="M5" s="25">
        <f>M6-M82</f>
        <v>1139318850.9099998</v>
      </c>
      <c r="N5" s="25">
        <f>N6-N82</f>
        <v>417935</v>
      </c>
      <c r="O5" s="25"/>
      <c r="P5" s="25"/>
      <c r="Q5" s="25">
        <f t="shared" ref="Q5:W5" si="1">Q6+Q78</f>
        <v>1255683201.6599998</v>
      </c>
      <c r="R5" s="25">
        <f t="shared" si="1"/>
        <v>982846561.78999996</v>
      </c>
      <c r="S5" s="25">
        <f t="shared" si="1"/>
        <v>1151657119.29</v>
      </c>
      <c r="T5" s="25">
        <f t="shared" si="1"/>
        <v>1385321434.3999999</v>
      </c>
      <c r="U5" s="25">
        <f t="shared" si="1"/>
        <v>1261033578.75</v>
      </c>
      <c r="V5" s="25">
        <f t="shared" si="1"/>
        <v>1142472717.51</v>
      </c>
      <c r="W5" s="25">
        <f t="shared" si="1"/>
        <v>1753773429.0699999</v>
      </c>
      <c r="X5" s="25">
        <f>W5-T5</f>
        <v>368451994.67000008</v>
      </c>
      <c r="Y5" s="25">
        <f>Y6+Y78</f>
        <v>1791392668.05</v>
      </c>
      <c r="Z5" s="25">
        <f>Z6+Z78</f>
        <v>1380136990.0899999</v>
      </c>
      <c r="AA5" s="25">
        <f>Z5-Y5</f>
        <v>-411255677.96000004</v>
      </c>
      <c r="AB5" s="25">
        <f>AB6+AB78</f>
        <v>1291000593.96</v>
      </c>
      <c r="AC5" s="25"/>
      <c r="AD5" s="25">
        <f t="shared" ref="AD5:AO5" si="2">AD6+AD78</f>
        <v>113174505.81</v>
      </c>
      <c r="AE5" s="25">
        <f t="shared" si="2"/>
        <v>1087173320.1000001</v>
      </c>
      <c r="AF5" s="25">
        <f t="shared" si="2"/>
        <v>137332001.74000001</v>
      </c>
      <c r="AG5" s="25">
        <f t="shared" si="2"/>
        <v>183312426.63</v>
      </c>
      <c r="AH5" s="25">
        <f t="shared" si="2"/>
        <v>1014325117.55</v>
      </c>
      <c r="AI5" s="25">
        <f t="shared" si="2"/>
        <v>1147122988.9100001</v>
      </c>
      <c r="AJ5" s="25">
        <f t="shared" si="2"/>
        <v>91214597.890000001</v>
      </c>
      <c r="AK5" s="25">
        <f t="shared" si="2"/>
        <v>81496739.090000004</v>
      </c>
      <c r="AL5" s="25">
        <f t="shared" si="2"/>
        <v>1169818980.8599999</v>
      </c>
      <c r="AM5" s="25">
        <f t="shared" si="2"/>
        <v>1060975978.42</v>
      </c>
      <c r="AN5" s="25">
        <f t="shared" si="2"/>
        <v>610417687.54999995</v>
      </c>
      <c r="AO5" s="25">
        <f t="shared" si="2"/>
        <v>1180974980.5</v>
      </c>
    </row>
    <row r="6" spans="1:42">
      <c r="A6" s="171" t="s">
        <v>22</v>
      </c>
      <c r="B6" s="165" t="s">
        <v>23</v>
      </c>
      <c r="C6" s="16">
        <f>C13+C52+C75+C7+C82</f>
        <v>864721.7</v>
      </c>
      <c r="D6" s="16">
        <f>D13+D52+D75+D7+D82</f>
        <v>360</v>
      </c>
      <c r="E6" s="16">
        <f>E13+E52+E75+E7+E82</f>
        <v>864721718.66999996</v>
      </c>
      <c r="F6" s="16">
        <f>F13+F52+F75+F7+F82</f>
        <v>832206.21461999987</v>
      </c>
      <c r="G6" s="16">
        <f>G13+G52+G75+G7+G82</f>
        <v>0.11462000000285499</v>
      </c>
      <c r="H6" s="16">
        <f>H13+H52+H75+H7+H82+H74</f>
        <v>609278</v>
      </c>
      <c r="I6" s="16">
        <f>I13+I52+I75+I7+I82+I74</f>
        <v>836100</v>
      </c>
      <c r="J6" s="16">
        <f>J13+J52+J75+J7+J82+J74</f>
        <v>696541</v>
      </c>
      <c r="K6" s="130">
        <f>K52</f>
        <v>545714</v>
      </c>
      <c r="L6" s="25">
        <f>L13+L52+L75+L7+L74+L71</f>
        <v>1187152261.7199998</v>
      </c>
      <c r="M6" s="25">
        <f>M13+M52+M75+M7+M82+M74+M71</f>
        <v>1139318850.9099998</v>
      </c>
      <c r="N6" s="25">
        <f>N13+N52+N75+N7+N82+N74+N71</f>
        <v>417935</v>
      </c>
      <c r="O6" s="25"/>
      <c r="P6" s="25"/>
      <c r="Q6" s="25">
        <f t="shared" ref="Q6:W6" si="3">Q7+Q13+Q52+Q71</f>
        <v>1200347825.9099998</v>
      </c>
      <c r="R6" s="25">
        <f t="shared" si="3"/>
        <v>982846561.78999996</v>
      </c>
      <c r="S6" s="25">
        <f t="shared" si="3"/>
        <v>1151657119.29</v>
      </c>
      <c r="T6" s="25">
        <f t="shared" si="3"/>
        <v>1331904461.54</v>
      </c>
      <c r="U6" s="25">
        <f t="shared" si="3"/>
        <v>1261033578.75</v>
      </c>
      <c r="V6" s="25">
        <f t="shared" si="3"/>
        <v>1142472717.51</v>
      </c>
      <c r="W6" s="25">
        <f t="shared" si="3"/>
        <v>1753773429.0699999</v>
      </c>
      <c r="X6" s="25">
        <f t="shared" ref="X6:X51" si="4">W6-T6</f>
        <v>421868967.52999997</v>
      </c>
      <c r="Y6" s="25">
        <f>Y7+Y13+Y52+Y71</f>
        <v>1791392668.05</v>
      </c>
      <c r="Z6" s="25">
        <f>Z7+Z13+Z52+Z71</f>
        <v>1380136990.0899999</v>
      </c>
      <c r="AA6" s="25">
        <f t="shared" ref="AA6:AA71" si="5">Z6-Y6</f>
        <v>-411255677.96000004</v>
      </c>
      <c r="AB6" s="25">
        <f>AB7+AB13+AB52+AB71</f>
        <v>1291000593.96</v>
      </c>
      <c r="AC6" s="25"/>
      <c r="AD6" s="25">
        <f t="shared" ref="AD6:AO6" si="6">AD7+AD13+AD52+AD71</f>
        <v>113174505.81</v>
      </c>
      <c r="AE6" s="25">
        <f t="shared" si="6"/>
        <v>1087173320.1000001</v>
      </c>
      <c r="AF6" s="25">
        <f t="shared" si="6"/>
        <v>137332001.74000001</v>
      </c>
      <c r="AG6" s="25">
        <f t="shared" si="6"/>
        <v>183312426.63</v>
      </c>
      <c r="AH6" s="25">
        <f t="shared" si="6"/>
        <v>1014325117.55</v>
      </c>
      <c r="AI6" s="25">
        <f t="shared" si="6"/>
        <v>1147122988.9100001</v>
      </c>
      <c r="AJ6" s="25">
        <f t="shared" si="6"/>
        <v>91214597.890000001</v>
      </c>
      <c r="AK6" s="25">
        <f t="shared" si="6"/>
        <v>81496739.090000004</v>
      </c>
      <c r="AL6" s="25">
        <f t="shared" si="6"/>
        <v>1169818980.8599999</v>
      </c>
      <c r="AM6" s="25">
        <f t="shared" si="6"/>
        <v>1060975978.42</v>
      </c>
      <c r="AN6" s="25">
        <f t="shared" si="6"/>
        <v>610417687.54999995</v>
      </c>
      <c r="AO6" s="25">
        <f t="shared" si="6"/>
        <v>1180974980.5</v>
      </c>
    </row>
    <row r="7" spans="1:42">
      <c r="A7" s="216" t="s">
        <v>36</v>
      </c>
      <c r="B7" s="217" t="s">
        <v>26</v>
      </c>
      <c r="C7" s="15">
        <f>C11</f>
        <v>34649</v>
      </c>
      <c r="D7" s="15">
        <f>D11</f>
        <v>0</v>
      </c>
      <c r="E7" s="15">
        <f>E11</f>
        <v>34649000</v>
      </c>
      <c r="F7" s="15">
        <f>F11</f>
        <v>34649</v>
      </c>
      <c r="G7" s="15">
        <f>G11</f>
        <v>0</v>
      </c>
      <c r="H7" s="15">
        <f>H11+H10</f>
        <v>1186</v>
      </c>
      <c r="I7" s="15">
        <f>I11+I10</f>
        <v>1823</v>
      </c>
      <c r="J7" s="15">
        <f>J11+J10</f>
        <v>0</v>
      </c>
      <c r="K7" s="218">
        <f>K11+K10</f>
        <v>0</v>
      </c>
      <c r="L7" s="219">
        <f t="shared" ref="L7" si="7">AD7+AE7</f>
        <v>28719000</v>
      </c>
      <c r="M7" s="24">
        <f>M10+M11</f>
        <v>21255000</v>
      </c>
      <c r="N7" s="24">
        <f>N10+N11</f>
        <v>0</v>
      </c>
      <c r="O7" s="24"/>
      <c r="P7" s="24"/>
      <c r="Q7" s="24">
        <f>SUM(Q9:Q12)</f>
        <v>28719000</v>
      </c>
      <c r="R7" s="24">
        <f>SUM(R9:R11)</f>
        <v>0</v>
      </c>
      <c r="S7" s="24">
        <f>SUM(S9:S11)</f>
        <v>0</v>
      </c>
      <c r="T7" s="24">
        <f>SUM(T8:T11)</f>
        <v>65307000</v>
      </c>
      <c r="U7" s="24">
        <f t="shared" ref="U7:AB7" si="8">SUM(U8:U11)</f>
        <v>0</v>
      </c>
      <c r="V7" s="24">
        <f t="shared" si="8"/>
        <v>4387000</v>
      </c>
      <c r="W7" s="24">
        <f t="shared" si="8"/>
        <v>323290000</v>
      </c>
      <c r="X7" s="25">
        <f t="shared" si="4"/>
        <v>257983000</v>
      </c>
      <c r="Y7" s="24">
        <f t="shared" si="8"/>
        <v>0</v>
      </c>
      <c r="Z7" s="24">
        <f t="shared" si="8"/>
        <v>44826000</v>
      </c>
      <c r="AA7" s="25">
        <f t="shared" si="5"/>
        <v>44826000</v>
      </c>
      <c r="AB7" s="24">
        <f t="shared" si="8"/>
        <v>6723000</v>
      </c>
      <c r="AC7" s="24"/>
      <c r="AD7" s="24">
        <f>SUM(AD9:AD11)</f>
        <v>0</v>
      </c>
      <c r="AE7" s="24">
        <f>SUM(AE9:AE12)</f>
        <v>28719000</v>
      </c>
      <c r="AF7" s="24">
        <f>SUM(AF9:AF11)</f>
        <v>0</v>
      </c>
      <c r="AG7" s="24">
        <f>SUM(AG9:AG11)</f>
        <v>0</v>
      </c>
      <c r="AH7" s="24">
        <f>SUM(AH9:AH11)</f>
        <v>0</v>
      </c>
      <c r="AI7" s="24">
        <f>SUM(AI8:AI11)</f>
        <v>65307000</v>
      </c>
      <c r="AJ7" s="24">
        <f t="shared" ref="AJ7:AM7" si="9">SUM(AJ8:AJ11)</f>
        <v>0</v>
      </c>
      <c r="AK7" s="24">
        <f t="shared" si="9"/>
        <v>0</v>
      </c>
      <c r="AL7" s="24">
        <f t="shared" si="9"/>
        <v>0</v>
      </c>
      <c r="AM7" s="24">
        <f t="shared" si="9"/>
        <v>4387000</v>
      </c>
      <c r="AN7" s="24">
        <f>SUM(AN8:AN11)</f>
        <v>0</v>
      </c>
      <c r="AO7" s="24">
        <f t="shared" ref="AO7" si="10">SUM(AO8:AO11)</f>
        <v>0</v>
      </c>
    </row>
    <row r="8" spans="1:42" ht="25.5">
      <c r="A8" s="115" t="s">
        <v>183</v>
      </c>
      <c r="B8" s="165" t="s">
        <v>184</v>
      </c>
      <c r="C8" s="15"/>
      <c r="D8" s="15"/>
      <c r="E8" s="15"/>
      <c r="F8" s="58"/>
      <c r="G8" s="58"/>
      <c r="H8" s="15"/>
      <c r="I8" s="15"/>
      <c r="J8" s="15"/>
      <c r="K8" s="218"/>
      <c r="L8" s="219"/>
      <c r="M8" s="24"/>
      <c r="N8" s="24"/>
      <c r="O8" s="24"/>
      <c r="P8" s="24"/>
      <c r="Q8" s="24"/>
      <c r="R8" s="24"/>
      <c r="S8" s="24"/>
      <c r="T8" s="25">
        <f>AG8+AI8</f>
        <v>0</v>
      </c>
      <c r="U8" s="24"/>
      <c r="V8" s="25">
        <f>AK8+AM8</f>
        <v>4387000</v>
      </c>
      <c r="W8" s="25">
        <v>234282000</v>
      </c>
      <c r="X8" s="25">
        <f t="shared" si="4"/>
        <v>234282000</v>
      </c>
      <c r="Y8" s="25">
        <f>AN8+AO8</f>
        <v>0</v>
      </c>
      <c r="Z8" s="25">
        <v>44826000</v>
      </c>
      <c r="AA8" s="25">
        <f t="shared" si="5"/>
        <v>44826000</v>
      </c>
      <c r="AB8" s="25">
        <v>6723000</v>
      </c>
      <c r="AC8" s="202">
        <v>903</v>
      </c>
      <c r="AD8" s="24"/>
      <c r="AE8" s="24"/>
      <c r="AF8" s="24"/>
      <c r="AG8" s="24"/>
      <c r="AH8" s="24"/>
      <c r="AI8" s="24"/>
      <c r="AJ8" s="24"/>
      <c r="AK8" s="25"/>
      <c r="AL8" s="24"/>
      <c r="AM8" s="24">
        <v>4387000</v>
      </c>
      <c r="AN8" s="24"/>
      <c r="AO8" s="24"/>
    </row>
    <row r="9" spans="1:42">
      <c r="A9" s="171" t="s">
        <v>185</v>
      </c>
      <c r="B9" s="121" t="s">
        <v>186</v>
      </c>
      <c r="C9" s="16"/>
      <c r="D9" s="16"/>
      <c r="E9" s="16"/>
      <c r="F9" s="125"/>
      <c r="G9" s="125"/>
      <c r="H9" s="16"/>
      <c r="I9" s="16"/>
      <c r="J9" s="16"/>
      <c r="K9" s="130"/>
      <c r="L9" s="195"/>
      <c r="M9" s="25"/>
      <c r="N9" s="25"/>
      <c r="O9" s="25"/>
      <c r="P9" s="25"/>
      <c r="Q9" s="25">
        <f>AD9+AE9</f>
        <v>912000</v>
      </c>
      <c r="R9" s="25"/>
      <c r="S9" s="25"/>
      <c r="T9" s="25">
        <f>AG9+AI9</f>
        <v>3000000</v>
      </c>
      <c r="U9" s="25"/>
      <c r="V9" s="25">
        <f>AK9+AM9</f>
        <v>0</v>
      </c>
      <c r="W9" s="25">
        <v>0</v>
      </c>
      <c r="X9" s="25">
        <f t="shared" si="4"/>
        <v>-3000000</v>
      </c>
      <c r="Y9" s="25">
        <f>AN9+AO9</f>
        <v>0</v>
      </c>
      <c r="Z9" s="25">
        <v>0</v>
      </c>
      <c r="AA9" s="25">
        <f t="shared" si="5"/>
        <v>0</v>
      </c>
      <c r="AB9" s="25">
        <v>0</v>
      </c>
      <c r="AC9" s="202">
        <v>905</v>
      </c>
      <c r="AD9" s="24"/>
      <c r="AE9" s="25">
        <v>912000</v>
      </c>
      <c r="AF9" s="24"/>
      <c r="AG9" s="24"/>
      <c r="AH9" s="25"/>
      <c r="AI9" s="25">
        <v>3000000</v>
      </c>
      <c r="AJ9" s="24"/>
      <c r="AK9" s="24"/>
      <c r="AL9" s="25"/>
      <c r="AM9" s="25"/>
      <c r="AN9" s="25"/>
      <c r="AO9" s="25"/>
    </row>
    <row r="10" spans="1:42">
      <c r="A10" s="171" t="s">
        <v>185</v>
      </c>
      <c r="B10" s="165" t="s">
        <v>186</v>
      </c>
      <c r="C10" s="16"/>
      <c r="D10" s="16"/>
      <c r="E10" s="16"/>
      <c r="F10" s="125"/>
      <c r="G10" s="125"/>
      <c r="H10" s="114">
        <v>1186</v>
      </c>
      <c r="I10" s="114">
        <v>1186</v>
      </c>
      <c r="J10" s="16"/>
      <c r="K10" s="130">
        <v>0</v>
      </c>
      <c r="L10" s="195">
        <f>AD10+AE10</f>
        <v>3178000</v>
      </c>
      <c r="M10" s="195">
        <f>L10-K10</f>
        <v>3178000</v>
      </c>
      <c r="N10" s="25">
        <v>0</v>
      </c>
      <c r="O10" s="25"/>
      <c r="P10" s="25"/>
      <c r="Q10" s="25">
        <f>AD10+AE10</f>
        <v>3178000</v>
      </c>
      <c r="R10" s="25">
        <v>0</v>
      </c>
      <c r="S10" s="25">
        <f>AF10+AH10</f>
        <v>0</v>
      </c>
      <c r="T10" s="25">
        <f>AG10+AI10</f>
        <v>62307000</v>
      </c>
      <c r="U10" s="25">
        <f>AJ10+AL10</f>
        <v>0</v>
      </c>
      <c r="V10" s="25">
        <f>AK10+AM10</f>
        <v>0</v>
      </c>
      <c r="W10" s="25">
        <v>0</v>
      </c>
      <c r="X10" s="25">
        <f t="shared" si="4"/>
        <v>-62307000</v>
      </c>
      <c r="Y10" s="25">
        <f>AN10+AO10</f>
        <v>0</v>
      </c>
      <c r="Z10" s="25">
        <v>0</v>
      </c>
      <c r="AA10" s="25">
        <f t="shared" si="5"/>
        <v>0</v>
      </c>
      <c r="AB10" s="25">
        <v>0</v>
      </c>
      <c r="AC10" s="202">
        <v>903</v>
      </c>
      <c r="AD10" s="194"/>
      <c r="AE10" s="25">
        <f>1033000+2145000</f>
        <v>3178000</v>
      </c>
      <c r="AF10" s="194"/>
      <c r="AG10" s="24"/>
      <c r="AH10" s="25"/>
      <c r="AI10" s="25">
        <v>62307000</v>
      </c>
      <c r="AJ10" s="194"/>
      <c r="AK10" s="24"/>
      <c r="AL10" s="25"/>
      <c r="AM10" s="25"/>
      <c r="AN10" s="25"/>
      <c r="AO10" s="25"/>
    </row>
    <row r="11" spans="1:42" ht="16.899999999999999" customHeight="1">
      <c r="A11" s="115" t="s">
        <v>148</v>
      </c>
      <c r="B11" s="30" t="s">
        <v>149</v>
      </c>
      <c r="C11" s="16">
        <f>9649+25000</f>
        <v>34649</v>
      </c>
      <c r="D11" s="16"/>
      <c r="E11" s="25">
        <f>9649000+25000000</f>
        <v>34649000</v>
      </c>
      <c r="F11" s="116">
        <f>E11/1000</f>
        <v>34649</v>
      </c>
      <c r="G11" s="116">
        <f>F11-C11</f>
        <v>0</v>
      </c>
      <c r="H11" s="114"/>
      <c r="I11" s="114">
        <v>637</v>
      </c>
      <c r="J11" s="114">
        <v>0</v>
      </c>
      <c r="K11" s="131">
        <v>0</v>
      </c>
      <c r="L11" s="195">
        <f>AD11+AE11</f>
        <v>18077000</v>
      </c>
      <c r="M11" s="195">
        <f>L11-K11</f>
        <v>18077000</v>
      </c>
      <c r="N11" s="195">
        <v>0</v>
      </c>
      <c r="O11" s="195"/>
      <c r="P11" s="195"/>
      <c r="Q11" s="25">
        <f>AD11+AE11</f>
        <v>18077000</v>
      </c>
      <c r="R11" s="195">
        <v>0</v>
      </c>
      <c r="S11" s="25">
        <f>AF11+AH11</f>
        <v>0</v>
      </c>
      <c r="T11" s="25">
        <f>AG11+AI11</f>
        <v>0</v>
      </c>
      <c r="U11" s="25">
        <f>AJ11+AL11</f>
        <v>0</v>
      </c>
      <c r="V11" s="25">
        <f>AK11+AM11</f>
        <v>0</v>
      </c>
      <c r="W11" s="25">
        <v>89008000</v>
      </c>
      <c r="X11" s="25">
        <f t="shared" si="4"/>
        <v>89008000</v>
      </c>
      <c r="Y11" s="25">
        <f>AN11+AO11</f>
        <v>0</v>
      </c>
      <c r="Z11" s="25">
        <v>0</v>
      </c>
      <c r="AA11" s="25">
        <f t="shared" si="5"/>
        <v>0</v>
      </c>
      <c r="AB11" s="25">
        <v>0</v>
      </c>
      <c r="AC11" s="202">
        <v>903</v>
      </c>
      <c r="AD11" s="194"/>
      <c r="AE11" s="208">
        <v>18077000</v>
      </c>
      <c r="AF11" s="194"/>
      <c r="AG11" s="24"/>
      <c r="AH11" s="195"/>
      <c r="AI11" s="195"/>
      <c r="AJ11" s="194"/>
      <c r="AK11" s="24"/>
      <c r="AL11" s="195"/>
      <c r="AM11" s="195"/>
      <c r="AN11" s="195"/>
      <c r="AO11" s="195"/>
    </row>
    <row r="12" spans="1:42" ht="16.899999999999999" customHeight="1">
      <c r="A12" s="115" t="s">
        <v>148</v>
      </c>
      <c r="B12" s="30" t="s">
        <v>149</v>
      </c>
      <c r="C12" s="16"/>
      <c r="D12" s="16"/>
      <c r="E12" s="25"/>
      <c r="F12" s="116"/>
      <c r="G12" s="116"/>
      <c r="H12" s="114"/>
      <c r="I12" s="114"/>
      <c r="J12" s="114"/>
      <c r="K12" s="131"/>
      <c r="L12" s="195"/>
      <c r="M12" s="195"/>
      <c r="N12" s="195"/>
      <c r="O12" s="195"/>
      <c r="P12" s="195"/>
      <c r="Q12" s="25">
        <f>AD12+AE12</f>
        <v>6552000</v>
      </c>
      <c r="R12" s="195"/>
      <c r="S12" s="25"/>
      <c r="T12" s="25">
        <f>AG12+AI12</f>
        <v>0</v>
      </c>
      <c r="U12" s="25"/>
      <c r="V12" s="25">
        <f>AK12+AM12</f>
        <v>0</v>
      </c>
      <c r="W12" s="25"/>
      <c r="X12" s="25">
        <f t="shared" si="4"/>
        <v>0</v>
      </c>
      <c r="Y12" s="25">
        <f>AN12+AO12</f>
        <v>0</v>
      </c>
      <c r="Z12" s="25">
        <v>0</v>
      </c>
      <c r="AA12" s="25">
        <f t="shared" si="5"/>
        <v>0</v>
      </c>
      <c r="AB12" s="25">
        <v>0</v>
      </c>
      <c r="AC12" s="202">
        <v>907</v>
      </c>
      <c r="AD12" s="194"/>
      <c r="AE12" s="208">
        <v>6552000</v>
      </c>
      <c r="AF12" s="194"/>
      <c r="AG12" s="24"/>
      <c r="AH12" s="195"/>
      <c r="AI12" s="195"/>
      <c r="AJ12" s="194"/>
      <c r="AK12" s="24"/>
      <c r="AL12" s="195"/>
      <c r="AM12" s="195"/>
      <c r="AN12" s="195"/>
      <c r="AO12" s="195"/>
    </row>
    <row r="13" spans="1:42" ht="15.6" customHeight="1">
      <c r="A13" s="216" t="s">
        <v>37</v>
      </c>
      <c r="B13" s="217" t="s">
        <v>25</v>
      </c>
      <c r="C13" s="15">
        <f t="shared" ref="C13:J13" si="11">SUM(C14:C31)</f>
        <v>99365.099999999991</v>
      </c>
      <c r="D13" s="15">
        <f t="shared" si="11"/>
        <v>0</v>
      </c>
      <c r="E13" s="15">
        <f t="shared" si="11"/>
        <v>99365090.670000002</v>
      </c>
      <c r="F13" s="15">
        <f t="shared" si="11"/>
        <v>66849.586620000002</v>
      </c>
      <c r="G13" s="15">
        <f t="shared" si="11"/>
        <v>8.6620000003062358E-2</v>
      </c>
      <c r="H13" s="15">
        <f t="shared" si="11"/>
        <v>0</v>
      </c>
      <c r="I13" s="15">
        <f t="shared" si="11"/>
        <v>59336</v>
      </c>
      <c r="J13" s="15">
        <f t="shared" si="11"/>
        <v>0</v>
      </c>
      <c r="K13" s="218">
        <v>0</v>
      </c>
      <c r="L13" s="24">
        <f>SUM(L14:L31)</f>
        <v>148264346.09999999</v>
      </c>
      <c r="M13" s="24">
        <f>SUM(M14:M31)</f>
        <v>148254346.09999999</v>
      </c>
      <c r="N13" s="24">
        <f>SUM(N14:N31)</f>
        <v>2</v>
      </c>
      <c r="O13" s="24"/>
      <c r="P13" s="24"/>
      <c r="Q13" s="24">
        <f t="shared" ref="Q13:S13" si="12">SUM(Q14:Q31)</f>
        <v>160804507.09999999</v>
      </c>
      <c r="R13" s="24">
        <f t="shared" si="12"/>
        <v>91677161.789999992</v>
      </c>
      <c r="S13" s="24">
        <f t="shared" si="12"/>
        <v>148159118.28999999</v>
      </c>
      <c r="T13" s="24">
        <f>SUM(T14:T31)</f>
        <v>190630912.22999999</v>
      </c>
      <c r="U13" s="24">
        <f t="shared" ref="U13:AB13" si="13">SUM(U14:U31)</f>
        <v>102657764.75000001</v>
      </c>
      <c r="V13" s="24">
        <f t="shared" si="13"/>
        <v>103467717.50999999</v>
      </c>
      <c r="W13" s="24">
        <f t="shared" si="13"/>
        <v>308067269.06999999</v>
      </c>
      <c r="X13" s="25">
        <f t="shared" si="4"/>
        <v>117436356.84</v>
      </c>
      <c r="Y13" s="24">
        <f t="shared" si="13"/>
        <v>741691168.04999995</v>
      </c>
      <c r="Z13" s="24">
        <f t="shared" si="13"/>
        <v>217852538.08999997</v>
      </c>
      <c r="AA13" s="24">
        <f t="shared" si="13"/>
        <v>-524223249.95999998</v>
      </c>
      <c r="AB13" s="24">
        <f t="shared" si="13"/>
        <v>165459141.96000001</v>
      </c>
      <c r="AC13" s="24"/>
      <c r="AD13" s="24">
        <f t="shared" ref="AD13:AO13" si="14">SUM(AD14:AD31)</f>
        <v>70005813.969999999</v>
      </c>
      <c r="AE13" s="24">
        <f t="shared" si="14"/>
        <v>90798693.129999995</v>
      </c>
      <c r="AF13" s="24">
        <f t="shared" si="14"/>
        <v>84122000.739999995</v>
      </c>
      <c r="AG13" s="24">
        <f t="shared" si="14"/>
        <v>105825594.72999999</v>
      </c>
      <c r="AH13" s="24">
        <f t="shared" si="14"/>
        <v>64037117.550000004</v>
      </c>
      <c r="AI13" s="24">
        <f t="shared" si="14"/>
        <v>84805317.5</v>
      </c>
      <c r="AJ13" s="24">
        <f t="shared" si="14"/>
        <v>37327783.890000001</v>
      </c>
      <c r="AK13" s="24">
        <f t="shared" si="14"/>
        <v>38165739.090000004</v>
      </c>
      <c r="AL13" s="24">
        <f t="shared" si="14"/>
        <v>65329980.859999999</v>
      </c>
      <c r="AM13" s="24">
        <f t="shared" si="14"/>
        <v>65301978.420000002</v>
      </c>
      <c r="AN13" s="24">
        <f t="shared" si="14"/>
        <v>567206187.54999995</v>
      </c>
      <c r="AO13" s="24">
        <f t="shared" si="14"/>
        <v>174484980.5</v>
      </c>
    </row>
    <row r="14" spans="1:42" ht="27" customHeight="1">
      <c r="A14" s="115" t="s">
        <v>66</v>
      </c>
      <c r="B14" s="30" t="s">
        <v>98</v>
      </c>
      <c r="C14" s="16">
        <v>29411</v>
      </c>
      <c r="D14" s="16"/>
      <c r="E14" s="25">
        <v>29411000</v>
      </c>
      <c r="F14" s="116">
        <f>E14/1000</f>
        <v>29411</v>
      </c>
      <c r="G14" s="116">
        <f>F14-C14</f>
        <v>0</v>
      </c>
      <c r="H14" s="114"/>
      <c r="I14" s="114">
        <v>23860</v>
      </c>
      <c r="J14" s="114"/>
      <c r="K14" s="131">
        <v>0</v>
      </c>
      <c r="L14" s="195">
        <f t="shared" ref="L14:L19" si="15">AD14+AE14</f>
        <v>40500000</v>
      </c>
      <c r="M14" s="195">
        <f t="shared" ref="M14:M19" si="16">L14-K14</f>
        <v>40500000</v>
      </c>
      <c r="N14" s="195">
        <v>0</v>
      </c>
      <c r="O14" s="195"/>
      <c r="P14" s="195"/>
      <c r="Q14" s="25">
        <f t="shared" ref="Q14:Q19" si="17">AD14+AE14</f>
        <v>40500000</v>
      </c>
      <c r="R14" s="195">
        <v>30000000</v>
      </c>
      <c r="S14" s="25">
        <f t="shared" ref="S14:T29" si="18">AF14+AH14</f>
        <v>30000000</v>
      </c>
      <c r="T14" s="25">
        <f t="shared" si="18"/>
        <v>54882957.380000003</v>
      </c>
      <c r="U14" s="25">
        <f t="shared" ref="U14:W29" si="19">AJ14+AL14</f>
        <v>30000000</v>
      </c>
      <c r="V14" s="25">
        <f t="shared" si="19"/>
        <v>23000000</v>
      </c>
      <c r="W14" s="25">
        <v>48000000</v>
      </c>
      <c r="X14" s="25">
        <f t="shared" si="4"/>
        <v>-6882957.3800000027</v>
      </c>
      <c r="Y14" s="25">
        <f t="shared" ref="Y14:Y30" si="20">AN14+AO14</f>
        <v>24000000</v>
      </c>
      <c r="Z14" s="25">
        <v>0</v>
      </c>
      <c r="AA14" s="25">
        <f t="shared" si="5"/>
        <v>-24000000</v>
      </c>
      <c r="AB14" s="25">
        <v>0</v>
      </c>
      <c r="AC14" s="202">
        <v>905</v>
      </c>
      <c r="AD14" s="194"/>
      <c r="AE14" s="195">
        <f>30000000+4500000+6000000</f>
        <v>40500000</v>
      </c>
      <c r="AF14" s="194"/>
      <c r="AG14" s="194"/>
      <c r="AH14" s="195">
        <v>30000000</v>
      </c>
      <c r="AI14" s="195">
        <f>50000000+4499991+382966.38</f>
        <v>54882957.380000003</v>
      </c>
      <c r="AJ14" s="194"/>
      <c r="AK14" s="194"/>
      <c r="AL14" s="195">
        <v>30000000</v>
      </c>
      <c r="AM14" s="195">
        <v>23000000</v>
      </c>
      <c r="AN14" s="195"/>
      <c r="AO14" s="195">
        <v>24000000</v>
      </c>
      <c r="AP14" s="189" t="s">
        <v>232</v>
      </c>
    </row>
    <row r="15" spans="1:42" ht="29.25" hidden="1" customHeight="1">
      <c r="A15" s="115" t="s">
        <v>212</v>
      </c>
      <c r="B15" s="30" t="s">
        <v>213</v>
      </c>
      <c r="C15" s="16"/>
      <c r="D15" s="16"/>
      <c r="E15" s="25"/>
      <c r="F15" s="116"/>
      <c r="G15" s="116"/>
      <c r="H15" s="114"/>
      <c r="I15" s="114">
        <v>0</v>
      </c>
      <c r="J15" s="114"/>
      <c r="K15" s="131">
        <v>0</v>
      </c>
      <c r="L15" s="195">
        <f t="shared" si="15"/>
        <v>11250000</v>
      </c>
      <c r="M15" s="195">
        <f t="shared" si="16"/>
        <v>11250000</v>
      </c>
      <c r="N15" s="195">
        <v>0</v>
      </c>
      <c r="O15" s="195"/>
      <c r="P15" s="195"/>
      <c r="Q15" s="25">
        <f t="shared" si="17"/>
        <v>11250000</v>
      </c>
      <c r="R15" s="195">
        <v>1471000</v>
      </c>
      <c r="S15" s="25">
        <f t="shared" si="18"/>
        <v>0</v>
      </c>
      <c r="T15" s="25">
        <f t="shared" si="18"/>
        <v>0</v>
      </c>
      <c r="U15" s="25">
        <f t="shared" si="19"/>
        <v>0</v>
      </c>
      <c r="V15" s="25">
        <f t="shared" si="19"/>
        <v>0</v>
      </c>
      <c r="W15" s="25">
        <v>0</v>
      </c>
      <c r="X15" s="25">
        <f t="shared" si="4"/>
        <v>0</v>
      </c>
      <c r="Y15" s="25">
        <f t="shared" si="20"/>
        <v>0</v>
      </c>
      <c r="Z15" s="25">
        <v>15118384</v>
      </c>
      <c r="AA15" s="25">
        <f t="shared" si="5"/>
        <v>15118384</v>
      </c>
      <c r="AB15" s="25">
        <v>0</v>
      </c>
      <c r="AC15" s="202">
        <v>907</v>
      </c>
      <c r="AD15" s="194"/>
      <c r="AE15" s="195">
        <v>11250000</v>
      </c>
      <c r="AF15" s="194"/>
      <c r="AG15" s="194"/>
      <c r="AH15" s="195"/>
      <c r="AI15" s="195"/>
      <c r="AJ15" s="194"/>
      <c r="AK15" s="194"/>
      <c r="AL15" s="195"/>
      <c r="AM15" s="195"/>
      <c r="AN15" s="195"/>
      <c r="AO15" s="195"/>
    </row>
    <row r="16" spans="1:42" ht="31.5" customHeight="1">
      <c r="A16" s="115" t="s">
        <v>216</v>
      </c>
      <c r="B16" s="117" t="s">
        <v>217</v>
      </c>
      <c r="C16" s="16">
        <v>30453.9</v>
      </c>
      <c r="D16" s="16"/>
      <c r="E16" s="25">
        <v>30453878.91</v>
      </c>
      <c r="F16" s="116"/>
      <c r="G16" s="116"/>
      <c r="H16" s="114"/>
      <c r="I16" s="114"/>
      <c r="J16" s="114"/>
      <c r="K16" s="131"/>
      <c r="L16" s="195">
        <f t="shared" si="15"/>
        <v>562510.79999999993</v>
      </c>
      <c r="M16" s="195">
        <f t="shared" si="16"/>
        <v>562510.79999999993</v>
      </c>
      <c r="N16" s="195">
        <v>0</v>
      </c>
      <c r="O16" s="195"/>
      <c r="P16" s="195"/>
      <c r="Q16" s="25">
        <f t="shared" si="17"/>
        <v>562510.79999999993</v>
      </c>
      <c r="R16" s="195">
        <v>0</v>
      </c>
      <c r="S16" s="25">
        <f t="shared" si="18"/>
        <v>0</v>
      </c>
      <c r="T16" s="25">
        <f t="shared" si="18"/>
        <v>0</v>
      </c>
      <c r="U16" s="25">
        <f t="shared" si="19"/>
        <v>0</v>
      </c>
      <c r="V16" s="25">
        <f t="shared" si="19"/>
        <v>0</v>
      </c>
      <c r="W16" s="25">
        <v>70155640</v>
      </c>
      <c r="X16" s="25">
        <f t="shared" si="4"/>
        <v>70155640</v>
      </c>
      <c r="Y16" s="25">
        <f t="shared" si="20"/>
        <v>0</v>
      </c>
      <c r="Z16" s="25">
        <v>74750800</v>
      </c>
      <c r="AA16" s="25">
        <f t="shared" si="5"/>
        <v>74750800</v>
      </c>
      <c r="AB16" s="25">
        <v>89823830</v>
      </c>
      <c r="AC16" s="202">
        <v>906</v>
      </c>
      <c r="AD16" s="194">
        <v>556885.68999999994</v>
      </c>
      <c r="AE16" s="195">
        <v>5625.11</v>
      </c>
      <c r="AF16" s="194"/>
      <c r="AG16" s="194"/>
      <c r="AH16" s="195"/>
      <c r="AI16" s="195"/>
      <c r="AJ16" s="194"/>
      <c r="AK16" s="194"/>
      <c r="AL16" s="195"/>
      <c r="AM16" s="195"/>
      <c r="AN16" s="195"/>
      <c r="AO16" s="195"/>
      <c r="AP16" s="189" t="s">
        <v>233</v>
      </c>
    </row>
    <row r="17" spans="1:42" ht="41.25" customHeight="1">
      <c r="A17" s="115" t="s">
        <v>162</v>
      </c>
      <c r="B17" s="196" t="s">
        <v>189</v>
      </c>
      <c r="C17" s="16">
        <v>212.2</v>
      </c>
      <c r="D17" s="16"/>
      <c r="E17" s="25">
        <v>212168.14</v>
      </c>
      <c r="F17" s="116"/>
      <c r="G17" s="116"/>
      <c r="H17" s="114"/>
      <c r="I17" s="114"/>
      <c r="J17" s="114"/>
      <c r="K17" s="131"/>
      <c r="L17" s="195">
        <f t="shared" si="15"/>
        <v>0</v>
      </c>
      <c r="M17" s="195">
        <f t="shared" si="16"/>
        <v>0</v>
      </c>
      <c r="N17" s="195">
        <v>0</v>
      </c>
      <c r="O17" s="195"/>
      <c r="P17" s="195"/>
      <c r="Q17" s="25">
        <f t="shared" si="17"/>
        <v>0</v>
      </c>
      <c r="R17" s="195">
        <v>0</v>
      </c>
      <c r="S17" s="25">
        <f t="shared" si="18"/>
        <v>6786727.2599999998</v>
      </c>
      <c r="T17" s="25">
        <f t="shared" si="18"/>
        <v>9156464.6699999999</v>
      </c>
      <c r="U17" s="25">
        <f t="shared" si="19"/>
        <v>0</v>
      </c>
      <c r="V17" s="25">
        <f t="shared" si="19"/>
        <v>0</v>
      </c>
      <c r="W17" s="25">
        <v>0</v>
      </c>
      <c r="X17" s="25">
        <f t="shared" si="4"/>
        <v>-9156464.6699999999</v>
      </c>
      <c r="Y17" s="25">
        <f t="shared" si="20"/>
        <v>0</v>
      </c>
      <c r="Z17" s="25">
        <v>0</v>
      </c>
      <c r="AA17" s="25">
        <v>0</v>
      </c>
      <c r="AB17" s="25">
        <v>0</v>
      </c>
      <c r="AC17" s="202">
        <v>906</v>
      </c>
      <c r="AD17" s="194"/>
      <c r="AE17" s="195"/>
      <c r="AF17" s="194">
        <v>6718860</v>
      </c>
      <c r="AG17" s="194">
        <v>9064900.0199999996</v>
      </c>
      <c r="AH17" s="195">
        <v>67867.259999999995</v>
      </c>
      <c r="AI17" s="195">
        <v>91564.65</v>
      </c>
      <c r="AJ17" s="194"/>
      <c r="AK17" s="194"/>
      <c r="AL17" s="195"/>
      <c r="AM17" s="195"/>
      <c r="AN17" s="195"/>
      <c r="AO17" s="195"/>
    </row>
    <row r="18" spans="1:42" ht="25.5" customHeight="1">
      <c r="A18" s="115" t="s">
        <v>218</v>
      </c>
      <c r="B18" s="118" t="s">
        <v>219</v>
      </c>
      <c r="C18" s="25"/>
      <c r="D18" s="25"/>
      <c r="E18" s="25"/>
      <c r="F18" s="116"/>
      <c r="G18" s="116"/>
      <c r="H18" s="114"/>
      <c r="I18" s="114">
        <v>0</v>
      </c>
      <c r="J18" s="114"/>
      <c r="K18" s="131">
        <v>0</v>
      </c>
      <c r="L18" s="195">
        <f t="shared" si="15"/>
        <v>0</v>
      </c>
      <c r="M18" s="195">
        <f t="shared" si="16"/>
        <v>0</v>
      </c>
      <c r="N18" s="195">
        <v>0</v>
      </c>
      <c r="O18" s="195"/>
      <c r="P18" s="195"/>
      <c r="Q18" s="25">
        <f t="shared" si="17"/>
        <v>0</v>
      </c>
      <c r="R18" s="195">
        <v>0</v>
      </c>
      <c r="S18" s="25">
        <f t="shared" si="18"/>
        <v>0</v>
      </c>
      <c r="T18" s="25">
        <f t="shared" si="18"/>
        <v>0</v>
      </c>
      <c r="U18" s="25">
        <f t="shared" si="19"/>
        <v>0</v>
      </c>
      <c r="V18" s="25">
        <v>0</v>
      </c>
      <c r="W18" s="25">
        <v>91146769</v>
      </c>
      <c r="X18" s="25">
        <f t="shared" si="4"/>
        <v>91146769</v>
      </c>
      <c r="Y18" s="25">
        <f t="shared" si="20"/>
        <v>0</v>
      </c>
      <c r="Z18" s="25">
        <v>0</v>
      </c>
      <c r="AA18" s="25">
        <f t="shared" si="5"/>
        <v>0</v>
      </c>
      <c r="AB18" s="25">
        <v>0</v>
      </c>
      <c r="AC18" s="202">
        <v>906</v>
      </c>
      <c r="AD18" s="194"/>
      <c r="AE18" s="195"/>
      <c r="AF18" s="194"/>
      <c r="AG18" s="194"/>
      <c r="AH18" s="195"/>
      <c r="AI18" s="195"/>
      <c r="AJ18" s="194"/>
      <c r="AK18" s="194"/>
      <c r="AL18" s="195"/>
      <c r="AM18" s="195"/>
      <c r="AN18" s="195"/>
      <c r="AO18" s="195"/>
      <c r="AP18" s="189" t="s">
        <v>227</v>
      </c>
    </row>
    <row r="19" spans="1:42" ht="26.25" hidden="1" customHeight="1">
      <c r="A19" s="115" t="s">
        <v>174</v>
      </c>
      <c r="B19" s="165" t="s">
        <v>164</v>
      </c>
      <c r="C19" s="16"/>
      <c r="D19" s="16"/>
      <c r="E19" s="25"/>
      <c r="F19" s="116"/>
      <c r="G19" s="116"/>
      <c r="H19" s="114"/>
      <c r="I19" s="114">
        <v>0</v>
      </c>
      <c r="J19" s="114"/>
      <c r="K19" s="131">
        <v>0</v>
      </c>
      <c r="L19" s="195">
        <f t="shared" si="15"/>
        <v>403600</v>
      </c>
      <c r="M19" s="195">
        <f t="shared" si="16"/>
        <v>403600</v>
      </c>
      <c r="N19" s="195">
        <v>0</v>
      </c>
      <c r="O19" s="195"/>
      <c r="P19" s="195"/>
      <c r="Q19" s="25">
        <f t="shared" si="17"/>
        <v>403600</v>
      </c>
      <c r="R19" s="195">
        <v>437200</v>
      </c>
      <c r="S19" s="25">
        <f t="shared" si="18"/>
        <v>0</v>
      </c>
      <c r="T19" s="25">
        <f t="shared" si="18"/>
        <v>0</v>
      </c>
      <c r="U19" s="25">
        <f t="shared" si="19"/>
        <v>0</v>
      </c>
      <c r="V19" s="25">
        <f t="shared" si="19"/>
        <v>0</v>
      </c>
      <c r="W19" s="25">
        <v>0</v>
      </c>
      <c r="X19" s="25">
        <f t="shared" si="4"/>
        <v>0</v>
      </c>
      <c r="Y19" s="25">
        <f t="shared" si="20"/>
        <v>563337100</v>
      </c>
      <c r="Z19" s="25">
        <v>0</v>
      </c>
      <c r="AA19" s="25">
        <f t="shared" si="5"/>
        <v>-563337100</v>
      </c>
      <c r="AB19" s="25">
        <v>0</v>
      </c>
      <c r="AC19" s="202">
        <v>905</v>
      </c>
      <c r="AD19" s="194">
        <v>399542.52</v>
      </c>
      <c r="AE19" s="195">
        <v>4057.48</v>
      </c>
      <c r="AF19" s="194"/>
      <c r="AG19" s="194"/>
      <c r="AH19" s="195"/>
      <c r="AI19" s="195"/>
      <c r="AJ19" s="194"/>
      <c r="AK19" s="194"/>
      <c r="AL19" s="195"/>
      <c r="AM19" s="195"/>
      <c r="AN19" s="195">
        <v>484163600</v>
      </c>
      <c r="AO19" s="195">
        <v>79173500</v>
      </c>
    </row>
    <row r="20" spans="1:42" ht="26.25" hidden="1" customHeight="1">
      <c r="A20" s="115" t="s">
        <v>174</v>
      </c>
      <c r="B20" s="165" t="s">
        <v>164</v>
      </c>
      <c r="C20" s="16"/>
      <c r="D20" s="16"/>
      <c r="E20" s="25"/>
      <c r="F20" s="116"/>
      <c r="G20" s="116"/>
      <c r="H20" s="114"/>
      <c r="I20" s="114"/>
      <c r="J20" s="114"/>
      <c r="K20" s="131"/>
      <c r="L20" s="195"/>
      <c r="M20" s="195"/>
      <c r="N20" s="195"/>
      <c r="O20" s="195"/>
      <c r="P20" s="195"/>
      <c r="Q20" s="25"/>
      <c r="R20" s="195"/>
      <c r="S20" s="25"/>
      <c r="T20" s="25">
        <f t="shared" si="18"/>
        <v>0</v>
      </c>
      <c r="U20" s="25"/>
      <c r="V20" s="25">
        <f t="shared" si="19"/>
        <v>0</v>
      </c>
      <c r="W20" s="25">
        <v>0</v>
      </c>
      <c r="X20" s="25">
        <f t="shared" si="4"/>
        <v>0</v>
      </c>
      <c r="Y20" s="25">
        <f t="shared" si="20"/>
        <v>49497400</v>
      </c>
      <c r="Z20" s="25">
        <v>0</v>
      </c>
      <c r="AA20" s="25">
        <f t="shared" si="5"/>
        <v>-49497400</v>
      </c>
      <c r="AB20" s="25">
        <v>19582100</v>
      </c>
      <c r="AC20" s="202">
        <v>907</v>
      </c>
      <c r="AD20" s="194"/>
      <c r="AE20" s="195"/>
      <c r="AF20" s="194"/>
      <c r="AG20" s="194"/>
      <c r="AH20" s="195"/>
      <c r="AI20" s="195"/>
      <c r="AJ20" s="194"/>
      <c r="AK20" s="194"/>
      <c r="AL20" s="195"/>
      <c r="AM20" s="195"/>
      <c r="AN20" s="195">
        <v>49002400</v>
      </c>
      <c r="AO20" s="195">
        <v>495000</v>
      </c>
    </row>
    <row r="21" spans="1:42" ht="30" customHeight="1">
      <c r="A21" s="115" t="s">
        <v>214</v>
      </c>
      <c r="B21" s="165" t="s">
        <v>215</v>
      </c>
      <c r="C21" s="16"/>
      <c r="D21" s="16"/>
      <c r="E21" s="25"/>
      <c r="F21" s="116"/>
      <c r="G21" s="116"/>
      <c r="H21" s="114"/>
      <c r="I21" s="114"/>
      <c r="J21" s="114"/>
      <c r="K21" s="131"/>
      <c r="L21" s="195">
        <f>AD21+AE21</f>
        <v>0</v>
      </c>
      <c r="M21" s="195">
        <f>L21-K21</f>
        <v>0</v>
      </c>
      <c r="N21" s="195">
        <v>1</v>
      </c>
      <c r="O21" s="195"/>
      <c r="P21" s="195"/>
      <c r="Q21" s="25">
        <f>AD21+AE21</f>
        <v>0</v>
      </c>
      <c r="R21" s="195">
        <v>0</v>
      </c>
      <c r="S21" s="25">
        <f>AF21+AH21</f>
        <v>0</v>
      </c>
      <c r="T21" s="25">
        <f t="shared" si="18"/>
        <v>0</v>
      </c>
      <c r="U21" s="25">
        <f>AJ21+AL21</f>
        <v>0</v>
      </c>
      <c r="V21" s="25">
        <f t="shared" si="19"/>
        <v>0</v>
      </c>
      <c r="W21" s="25">
        <v>1798156.57</v>
      </c>
      <c r="X21" s="25">
        <f t="shared" si="4"/>
        <v>1798156.57</v>
      </c>
      <c r="Y21" s="25">
        <f t="shared" si="20"/>
        <v>0</v>
      </c>
      <c r="Z21" s="25">
        <v>0</v>
      </c>
      <c r="AA21" s="25">
        <f t="shared" si="5"/>
        <v>0</v>
      </c>
      <c r="AB21" s="25">
        <v>0</v>
      </c>
      <c r="AC21" s="202">
        <v>906</v>
      </c>
      <c r="AD21" s="194"/>
      <c r="AE21" s="195"/>
      <c r="AF21" s="194"/>
      <c r="AG21" s="194"/>
      <c r="AH21" s="195"/>
      <c r="AI21" s="195"/>
      <c r="AJ21" s="194"/>
      <c r="AK21" s="194"/>
      <c r="AL21" s="195"/>
      <c r="AM21" s="195"/>
      <c r="AN21" s="195"/>
      <c r="AO21" s="195"/>
      <c r="AP21" s="396" t="s">
        <v>228</v>
      </c>
    </row>
    <row r="22" spans="1:42" ht="41.25" customHeight="1">
      <c r="A22" s="115" t="s">
        <v>169</v>
      </c>
      <c r="B22" s="165" t="s">
        <v>188</v>
      </c>
      <c r="C22" s="16"/>
      <c r="D22" s="16"/>
      <c r="E22" s="25"/>
      <c r="F22" s="116"/>
      <c r="G22" s="116"/>
      <c r="H22" s="114"/>
      <c r="I22" s="114"/>
      <c r="J22" s="114"/>
      <c r="K22" s="131"/>
      <c r="L22" s="195"/>
      <c r="M22" s="195"/>
      <c r="N22" s="195"/>
      <c r="O22" s="195"/>
      <c r="P22" s="195"/>
      <c r="Q22" s="25">
        <f>AD22+AE22</f>
        <v>0</v>
      </c>
      <c r="R22" s="195">
        <v>1</v>
      </c>
      <c r="S22" s="25">
        <f>AF22+AH22</f>
        <v>19888932.699999999</v>
      </c>
      <c r="T22" s="25">
        <f t="shared" si="18"/>
        <v>40620458.089999996</v>
      </c>
      <c r="U22" s="25">
        <f>AJ22+AL22</f>
        <v>0</v>
      </c>
      <c r="V22" s="25">
        <f t="shared" si="19"/>
        <v>0</v>
      </c>
      <c r="W22" s="25">
        <f t="shared" si="19"/>
        <v>0</v>
      </c>
      <c r="X22" s="25">
        <f t="shared" si="4"/>
        <v>-40620458.089999996</v>
      </c>
      <c r="Y22" s="25">
        <f t="shared" si="20"/>
        <v>0</v>
      </c>
      <c r="Z22" s="25">
        <v>0</v>
      </c>
      <c r="AA22" s="25">
        <f t="shared" si="5"/>
        <v>0</v>
      </c>
      <c r="AB22" s="25">
        <v>0</v>
      </c>
      <c r="AC22" s="202">
        <v>906</v>
      </c>
      <c r="AD22" s="194"/>
      <c r="AE22" s="195"/>
      <c r="AF22" s="194">
        <v>19690043.41</v>
      </c>
      <c r="AG22" s="194">
        <f>21659047.74-2406560.86+20961766.67</f>
        <v>40214253.549999997</v>
      </c>
      <c r="AH22" s="195">
        <v>198889.29</v>
      </c>
      <c r="AI22" s="195">
        <f>218778.21-24308.69+211735.02</f>
        <v>406204.54</v>
      </c>
      <c r="AJ22" s="194"/>
      <c r="AK22" s="194"/>
      <c r="AL22" s="195"/>
      <c r="AM22" s="195"/>
      <c r="AN22" s="195"/>
      <c r="AO22" s="195"/>
      <c r="AP22" s="396"/>
    </row>
    <row r="23" spans="1:42" ht="36.75" customHeight="1">
      <c r="A23" s="115" t="s">
        <v>190</v>
      </c>
      <c r="B23" s="165" t="s">
        <v>191</v>
      </c>
      <c r="C23" s="16"/>
      <c r="D23" s="16"/>
      <c r="E23" s="25"/>
      <c r="F23" s="116"/>
      <c r="G23" s="116"/>
      <c r="H23" s="114"/>
      <c r="I23" s="114"/>
      <c r="J23" s="114"/>
      <c r="K23" s="131"/>
      <c r="L23" s="195"/>
      <c r="M23" s="195"/>
      <c r="N23" s="195"/>
      <c r="O23" s="195"/>
      <c r="P23" s="195"/>
      <c r="Q23" s="25"/>
      <c r="R23" s="195"/>
      <c r="S23" s="25"/>
      <c r="T23" s="25">
        <f t="shared" si="18"/>
        <v>3479845.71</v>
      </c>
      <c r="U23" s="25"/>
      <c r="V23" s="25">
        <f t="shared" si="19"/>
        <v>0</v>
      </c>
      <c r="W23" s="25">
        <f t="shared" si="19"/>
        <v>0</v>
      </c>
      <c r="X23" s="25">
        <f t="shared" si="4"/>
        <v>-3479845.71</v>
      </c>
      <c r="Y23" s="25">
        <f t="shared" si="20"/>
        <v>0</v>
      </c>
      <c r="Z23" s="25">
        <v>0</v>
      </c>
      <c r="AA23" s="25">
        <f t="shared" si="5"/>
        <v>0</v>
      </c>
      <c r="AB23" s="25">
        <v>0</v>
      </c>
      <c r="AC23" s="202">
        <v>906</v>
      </c>
      <c r="AD23" s="194"/>
      <c r="AE23" s="195"/>
      <c r="AF23" s="194"/>
      <c r="AG23" s="194">
        <v>3445047.25</v>
      </c>
      <c r="AH23" s="195"/>
      <c r="AI23" s="195">
        <v>34798.46</v>
      </c>
      <c r="AJ23" s="194"/>
      <c r="AK23" s="194"/>
      <c r="AL23" s="195"/>
      <c r="AM23" s="195"/>
      <c r="AN23" s="195"/>
      <c r="AO23" s="195"/>
      <c r="AP23" s="396"/>
    </row>
    <row r="24" spans="1:42" ht="30" customHeight="1">
      <c r="A24" s="115" t="s">
        <v>112</v>
      </c>
      <c r="B24" s="165" t="s">
        <v>113</v>
      </c>
      <c r="C24" s="16"/>
      <c r="D24" s="16"/>
      <c r="E24" s="25"/>
      <c r="F24" s="116"/>
      <c r="G24" s="116"/>
      <c r="H24" s="114"/>
      <c r="I24" s="114"/>
      <c r="J24" s="114"/>
      <c r="K24" s="131">
        <v>0</v>
      </c>
      <c r="L24" s="195">
        <f>AD24+AE24</f>
        <v>41702031.109999999</v>
      </c>
      <c r="M24" s="195">
        <f>L24-K24</f>
        <v>41702031.109999999</v>
      </c>
      <c r="N24" s="195">
        <v>1</v>
      </c>
      <c r="O24" s="195"/>
      <c r="P24" s="195"/>
      <c r="Q24" s="25">
        <f t="shared" ref="Q24:Q30" si="21">AD24+AE24</f>
        <v>41702031.109999999</v>
      </c>
      <c r="R24" s="195">
        <v>36323037</v>
      </c>
      <c r="S24" s="25">
        <f t="shared" ref="S24:T30" si="22">AF24+AH24</f>
        <v>41702042.219999999</v>
      </c>
      <c r="T24" s="25">
        <f t="shared" si="18"/>
        <v>42346000</v>
      </c>
      <c r="U24" s="25">
        <f t="shared" ref="U24:V30" si="23">AJ24+AL24</f>
        <v>38186527.210000001</v>
      </c>
      <c r="V24" s="25">
        <f t="shared" si="19"/>
        <v>38915000</v>
      </c>
      <c r="W24" s="25">
        <v>42258298.990000002</v>
      </c>
      <c r="X24" s="25">
        <f t="shared" si="4"/>
        <v>-87701.009999997914</v>
      </c>
      <c r="Y24" s="25">
        <f t="shared" si="20"/>
        <v>37469000</v>
      </c>
      <c r="Z24" s="25">
        <v>36975922.219999999</v>
      </c>
      <c r="AA24" s="25">
        <f t="shared" si="5"/>
        <v>-493077.78000000119</v>
      </c>
      <c r="AB24" s="25">
        <v>34945500</v>
      </c>
      <c r="AC24" s="202">
        <v>906</v>
      </c>
      <c r="AD24" s="194">
        <v>37531828</v>
      </c>
      <c r="AE24" s="195">
        <v>4170203.11</v>
      </c>
      <c r="AF24" s="194">
        <v>37531838</v>
      </c>
      <c r="AG24" s="194">
        <v>38111000</v>
      </c>
      <c r="AH24" s="195">
        <v>4170204.22</v>
      </c>
      <c r="AI24" s="195">
        <v>4235000</v>
      </c>
      <c r="AJ24" s="194">
        <v>35131605</v>
      </c>
      <c r="AK24" s="194">
        <v>35802000</v>
      </c>
      <c r="AL24" s="195">
        <v>3054922.21</v>
      </c>
      <c r="AM24" s="195">
        <v>3113000</v>
      </c>
      <c r="AN24" s="195">
        <v>32598000</v>
      </c>
      <c r="AO24" s="195">
        <v>4871000</v>
      </c>
      <c r="AP24" s="396" t="s">
        <v>228</v>
      </c>
    </row>
    <row r="25" spans="1:42" ht="39" hidden="1" customHeight="1">
      <c r="A25" s="115" t="s">
        <v>150</v>
      </c>
      <c r="B25" s="165" t="s">
        <v>151</v>
      </c>
      <c r="C25" s="16"/>
      <c r="D25" s="16"/>
      <c r="E25" s="25"/>
      <c r="F25" s="116"/>
      <c r="G25" s="116"/>
      <c r="H25" s="114"/>
      <c r="I25" s="114"/>
      <c r="J25" s="114"/>
      <c r="K25" s="131"/>
      <c r="L25" s="195"/>
      <c r="M25" s="195"/>
      <c r="N25" s="195"/>
      <c r="O25" s="195"/>
      <c r="P25" s="195"/>
      <c r="Q25" s="25">
        <f t="shared" si="21"/>
        <v>0</v>
      </c>
      <c r="R25" s="195"/>
      <c r="S25" s="25">
        <f t="shared" si="22"/>
        <v>0</v>
      </c>
      <c r="T25" s="25">
        <f t="shared" si="18"/>
        <v>0</v>
      </c>
      <c r="U25" s="25">
        <f t="shared" si="23"/>
        <v>0</v>
      </c>
      <c r="V25" s="25">
        <f t="shared" si="19"/>
        <v>0</v>
      </c>
      <c r="W25" s="25">
        <v>0</v>
      </c>
      <c r="X25" s="25">
        <f t="shared" si="4"/>
        <v>0</v>
      </c>
      <c r="Y25" s="25">
        <f t="shared" si="20"/>
        <v>0</v>
      </c>
      <c r="Z25" s="25">
        <v>0</v>
      </c>
      <c r="AA25" s="25">
        <f t="shared" si="5"/>
        <v>0</v>
      </c>
      <c r="AB25" s="25">
        <v>0</v>
      </c>
      <c r="AC25" s="202">
        <v>905</v>
      </c>
      <c r="AD25" s="194"/>
      <c r="AE25" s="195"/>
      <c r="AF25" s="194"/>
      <c r="AG25" s="194"/>
      <c r="AH25" s="195"/>
      <c r="AI25" s="195"/>
      <c r="AJ25" s="194"/>
      <c r="AK25" s="194"/>
      <c r="AL25" s="195"/>
      <c r="AM25" s="195"/>
      <c r="AN25" s="195"/>
      <c r="AO25" s="195"/>
      <c r="AP25" s="396"/>
    </row>
    <row r="26" spans="1:42" ht="20.25" customHeight="1">
      <c r="A26" s="119" t="s">
        <v>41</v>
      </c>
      <c r="B26" s="40" t="s">
        <v>192</v>
      </c>
      <c r="C26" s="25">
        <v>1770.5</v>
      </c>
      <c r="D26" s="25"/>
      <c r="E26" s="25">
        <v>1770457</v>
      </c>
      <c r="F26" s="116"/>
      <c r="G26" s="116"/>
      <c r="H26" s="114"/>
      <c r="I26" s="114">
        <v>2906</v>
      </c>
      <c r="J26" s="114"/>
      <c r="K26" s="131">
        <v>0</v>
      </c>
      <c r="L26" s="195">
        <f>AD26+AE26</f>
        <v>3629290.9</v>
      </c>
      <c r="M26" s="195">
        <f t="shared" ref="M26:M34" si="24">L26-K26</f>
        <v>3629290.9</v>
      </c>
      <c r="N26" s="195">
        <v>0</v>
      </c>
      <c r="O26" s="195"/>
      <c r="P26" s="195"/>
      <c r="Q26" s="25">
        <f t="shared" si="21"/>
        <v>3629290.9</v>
      </c>
      <c r="R26" s="195">
        <v>1380921.05</v>
      </c>
      <c r="S26" s="25">
        <f t="shared" si="22"/>
        <v>2038304.8399999999</v>
      </c>
      <c r="T26" s="25">
        <f t="shared" si="18"/>
        <v>2059123</v>
      </c>
      <c r="U26" s="25">
        <f t="shared" si="23"/>
        <v>2371315.54</v>
      </c>
      <c r="V26" s="25">
        <f t="shared" si="19"/>
        <v>2649749.5099999998</v>
      </c>
      <c r="W26" s="25">
        <v>4593726.4000000004</v>
      </c>
      <c r="X26" s="25">
        <f t="shared" si="4"/>
        <v>2534603.4000000004</v>
      </c>
      <c r="Y26" s="25">
        <f t="shared" si="20"/>
        <v>1610976.05</v>
      </c>
      <c r="Z26" s="25">
        <v>1806363.42</v>
      </c>
      <c r="AA26" s="25">
        <f t="shared" si="5"/>
        <v>195387.36999999988</v>
      </c>
      <c r="AB26" s="25">
        <v>2055127.93</v>
      </c>
      <c r="AC26" s="202">
        <v>902</v>
      </c>
      <c r="AD26" s="194">
        <v>3266316.61</v>
      </c>
      <c r="AE26" s="195">
        <v>362974.29</v>
      </c>
      <c r="AF26" s="194">
        <v>1834458.69</v>
      </c>
      <c r="AG26" s="194">
        <v>1736417.57</v>
      </c>
      <c r="AH26" s="195">
        <v>203846.15</v>
      </c>
      <c r="AI26" s="195">
        <v>322705.43</v>
      </c>
      <c r="AJ26" s="194">
        <v>2134115.89</v>
      </c>
      <c r="AK26" s="194">
        <v>2315980.09</v>
      </c>
      <c r="AL26" s="195">
        <v>237199.65</v>
      </c>
      <c r="AM26" s="195">
        <v>333769.42</v>
      </c>
      <c r="AN26" s="195">
        <v>1397612.55</v>
      </c>
      <c r="AO26" s="195">
        <v>213363.5</v>
      </c>
      <c r="AP26" s="396"/>
    </row>
    <row r="27" spans="1:42">
      <c r="A27" s="171" t="s">
        <v>38</v>
      </c>
      <c r="B27" s="30" t="s">
        <v>131</v>
      </c>
      <c r="C27" s="16">
        <v>19.2</v>
      </c>
      <c r="D27" s="16"/>
      <c r="E27" s="25">
        <v>19200</v>
      </c>
      <c r="F27" s="116">
        <f>E27/1000</f>
        <v>19.2</v>
      </c>
      <c r="G27" s="116">
        <f>F27-C27</f>
        <v>0</v>
      </c>
      <c r="H27" s="114"/>
      <c r="I27" s="114">
        <v>4024.2</v>
      </c>
      <c r="J27" s="114"/>
      <c r="K27" s="131">
        <v>0</v>
      </c>
      <c r="L27" s="195">
        <f>AD27+AE27</f>
        <v>18575928</v>
      </c>
      <c r="M27" s="195">
        <f t="shared" si="24"/>
        <v>18575928</v>
      </c>
      <c r="N27" s="195">
        <v>0</v>
      </c>
      <c r="O27" s="195"/>
      <c r="P27" s="195"/>
      <c r="Q27" s="25">
        <f t="shared" si="21"/>
        <v>18575928</v>
      </c>
      <c r="R27" s="195">
        <v>80995</v>
      </c>
      <c r="S27" s="25">
        <f t="shared" si="22"/>
        <v>91927</v>
      </c>
      <c r="T27" s="25">
        <f t="shared" si="18"/>
        <v>50302</v>
      </c>
      <c r="U27" s="25">
        <f t="shared" si="23"/>
        <v>93599</v>
      </c>
      <c r="V27" s="25">
        <f t="shared" si="19"/>
        <v>51912</v>
      </c>
      <c r="W27" s="25">
        <v>45969</v>
      </c>
      <c r="X27" s="25">
        <f t="shared" si="4"/>
        <v>-4333</v>
      </c>
      <c r="Y27" s="25">
        <f t="shared" si="20"/>
        <v>51236</v>
      </c>
      <c r="Z27" s="25">
        <f>67254344+48479</f>
        <v>67302823</v>
      </c>
      <c r="AA27" s="25">
        <f t="shared" si="5"/>
        <v>67251587</v>
      </c>
      <c r="AB27" s="25">
        <v>45245</v>
      </c>
      <c r="AC27" s="202">
        <v>907</v>
      </c>
      <c r="AD27" s="194">
        <f>59209+16659126</f>
        <v>16718335</v>
      </c>
      <c r="AE27" s="195">
        <f>6579+1851014</f>
        <v>1857593</v>
      </c>
      <c r="AF27" s="194">
        <v>59209</v>
      </c>
      <c r="AG27" s="194">
        <v>45272</v>
      </c>
      <c r="AH27" s="195">
        <f>26139+6579</f>
        <v>32718</v>
      </c>
      <c r="AI27" s="195">
        <v>5030</v>
      </c>
      <c r="AJ27" s="194">
        <v>62063</v>
      </c>
      <c r="AK27" s="194">
        <v>47759</v>
      </c>
      <c r="AL27" s="195">
        <f>26139+5397</f>
        <v>31536</v>
      </c>
      <c r="AM27" s="195">
        <v>4153</v>
      </c>
      <c r="AN27" s="195">
        <v>44575</v>
      </c>
      <c r="AO27" s="195">
        <v>6661</v>
      </c>
      <c r="AP27" s="396" t="s">
        <v>229</v>
      </c>
    </row>
    <row r="28" spans="1:42" ht="59.25" hidden="1" customHeight="1">
      <c r="A28" s="115" t="s">
        <v>78</v>
      </c>
      <c r="B28" s="118" t="s">
        <v>125</v>
      </c>
      <c r="C28" s="25">
        <v>10592.8</v>
      </c>
      <c r="D28" s="25"/>
      <c r="E28" s="25">
        <v>10592830</v>
      </c>
      <c r="F28" s="116">
        <f>E28/1000</f>
        <v>10592.83</v>
      </c>
      <c r="G28" s="116">
        <f>F28-C28</f>
        <v>3.0000000000654836E-2</v>
      </c>
      <c r="H28" s="114"/>
      <c r="I28" s="114">
        <v>5000</v>
      </c>
      <c r="J28" s="114"/>
      <c r="K28" s="131">
        <v>10000</v>
      </c>
      <c r="L28" s="195">
        <f>AD28+AE28</f>
        <v>0</v>
      </c>
      <c r="M28" s="195">
        <f t="shared" si="24"/>
        <v>-10000</v>
      </c>
      <c r="N28" s="195">
        <v>0</v>
      </c>
      <c r="O28" s="195"/>
      <c r="P28" s="195"/>
      <c r="Q28" s="25">
        <f t="shared" si="21"/>
        <v>0</v>
      </c>
      <c r="R28" s="195">
        <v>0</v>
      </c>
      <c r="S28" s="25">
        <f t="shared" si="22"/>
        <v>0</v>
      </c>
      <c r="T28" s="25">
        <f t="shared" si="18"/>
        <v>0</v>
      </c>
      <c r="U28" s="25">
        <f t="shared" si="23"/>
        <v>0</v>
      </c>
      <c r="V28" s="25">
        <f t="shared" si="19"/>
        <v>0</v>
      </c>
      <c r="W28" s="25"/>
      <c r="X28" s="25">
        <f t="shared" si="4"/>
        <v>0</v>
      </c>
      <c r="Y28" s="25">
        <f t="shared" si="20"/>
        <v>0</v>
      </c>
      <c r="Z28" s="25"/>
      <c r="AA28" s="25">
        <f t="shared" si="5"/>
        <v>0</v>
      </c>
      <c r="AB28" s="25"/>
      <c r="AC28" s="202">
        <v>902</v>
      </c>
      <c r="AD28" s="194"/>
      <c r="AE28" s="195"/>
      <c r="AF28" s="194"/>
      <c r="AG28" s="194"/>
      <c r="AH28" s="195"/>
      <c r="AI28" s="195"/>
      <c r="AJ28" s="194"/>
      <c r="AK28" s="194"/>
      <c r="AL28" s="195"/>
      <c r="AM28" s="195"/>
      <c r="AN28" s="195"/>
      <c r="AO28" s="195"/>
      <c r="AP28" s="396"/>
    </row>
    <row r="29" spans="1:42" ht="27.75" customHeight="1">
      <c r="A29" s="171" t="s">
        <v>39</v>
      </c>
      <c r="B29" s="30" t="s">
        <v>59</v>
      </c>
      <c r="C29" s="25">
        <v>19852.8</v>
      </c>
      <c r="D29" s="25"/>
      <c r="E29" s="25">
        <v>19852840.23</v>
      </c>
      <c r="F29" s="116">
        <f>E29/1000</f>
        <v>19852.840230000002</v>
      </c>
      <c r="G29" s="116">
        <f>F29-C29</f>
        <v>4.0230000002338784E-2</v>
      </c>
      <c r="H29" s="114"/>
      <c r="I29" s="114">
        <v>17176</v>
      </c>
      <c r="J29" s="114"/>
      <c r="K29" s="131">
        <v>0</v>
      </c>
      <c r="L29" s="195">
        <f>AD29+AE29</f>
        <v>11649400.41</v>
      </c>
      <c r="M29" s="195">
        <f t="shared" si="24"/>
        <v>11649400.41</v>
      </c>
      <c r="N29" s="195">
        <v>0</v>
      </c>
      <c r="O29" s="195"/>
      <c r="P29" s="195"/>
      <c r="Q29" s="25">
        <f t="shared" si="21"/>
        <v>11649400.41</v>
      </c>
      <c r="R29" s="195">
        <v>16941187.739999998</v>
      </c>
      <c r="S29" s="25">
        <f t="shared" si="22"/>
        <v>18472315.27</v>
      </c>
      <c r="T29" s="25">
        <f t="shared" si="18"/>
        <v>14256928.82</v>
      </c>
      <c r="U29" s="25">
        <f t="shared" si="23"/>
        <v>0</v>
      </c>
      <c r="V29" s="25">
        <f t="shared" si="19"/>
        <v>0</v>
      </c>
      <c r="W29" s="25">
        <v>17911089.109999999</v>
      </c>
      <c r="X29" s="25">
        <f t="shared" si="4"/>
        <v>3654160.2899999991</v>
      </c>
      <c r="Y29" s="25">
        <f t="shared" si="20"/>
        <v>0</v>
      </c>
      <c r="Z29" s="25">
        <v>16374385.25</v>
      </c>
      <c r="AA29" s="25">
        <f t="shared" si="5"/>
        <v>16374385.25</v>
      </c>
      <c r="AB29" s="25">
        <v>15721643.529999999</v>
      </c>
      <c r="AC29" s="202">
        <v>905</v>
      </c>
      <c r="AD29" s="116">
        <v>11532906.15</v>
      </c>
      <c r="AE29" s="195">
        <v>116494.26</v>
      </c>
      <c r="AF29" s="194">
        <v>18287591.640000001</v>
      </c>
      <c r="AG29" s="194">
        <v>13208704.34</v>
      </c>
      <c r="AH29" s="195">
        <v>184723.63</v>
      </c>
      <c r="AI29" s="195">
        <f>585033.63+463190.85</f>
        <v>1048224.48</v>
      </c>
      <c r="AJ29" s="194"/>
      <c r="AK29" s="194"/>
      <c r="AL29" s="195"/>
      <c r="AM29" s="195"/>
      <c r="AN29" s="195"/>
      <c r="AO29" s="195"/>
      <c r="AP29" s="396" t="s">
        <v>235</v>
      </c>
    </row>
    <row r="30" spans="1:42" ht="24.75" hidden="1">
      <c r="A30" s="119" t="s">
        <v>40</v>
      </c>
      <c r="B30" s="120" t="s">
        <v>24</v>
      </c>
      <c r="C30" s="25"/>
      <c r="D30" s="25"/>
      <c r="E30" s="25"/>
      <c r="F30" s="116">
        <f>E30/1000</f>
        <v>0</v>
      </c>
      <c r="G30" s="116">
        <f>F30-C30</f>
        <v>0</v>
      </c>
      <c r="H30" s="114"/>
      <c r="I30" s="114"/>
      <c r="J30" s="114"/>
      <c r="K30" s="131">
        <v>0</v>
      </c>
      <c r="L30" s="195">
        <f>AD30+AE30</f>
        <v>0</v>
      </c>
      <c r="M30" s="195">
        <f t="shared" si="24"/>
        <v>0</v>
      </c>
      <c r="N30" s="195">
        <v>0</v>
      </c>
      <c r="O30" s="195"/>
      <c r="P30" s="195"/>
      <c r="Q30" s="25">
        <f t="shared" si="21"/>
        <v>0</v>
      </c>
      <c r="R30" s="195">
        <v>0</v>
      </c>
      <c r="S30" s="25">
        <f t="shared" si="22"/>
        <v>0</v>
      </c>
      <c r="T30" s="25">
        <f t="shared" si="22"/>
        <v>0</v>
      </c>
      <c r="U30" s="25">
        <f t="shared" si="23"/>
        <v>0</v>
      </c>
      <c r="V30" s="25">
        <f t="shared" si="23"/>
        <v>0</v>
      </c>
      <c r="W30" s="25"/>
      <c r="X30" s="25">
        <f t="shared" si="4"/>
        <v>0</v>
      </c>
      <c r="Y30" s="25">
        <f t="shared" si="20"/>
        <v>0</v>
      </c>
      <c r="Z30" s="25"/>
      <c r="AA30" s="25">
        <f t="shared" si="5"/>
        <v>0</v>
      </c>
      <c r="AB30" s="25"/>
      <c r="AC30" s="202"/>
      <c r="AD30" s="194"/>
      <c r="AE30" s="195"/>
      <c r="AF30" s="194"/>
      <c r="AG30" s="194"/>
      <c r="AH30" s="195"/>
      <c r="AI30" s="195"/>
      <c r="AJ30" s="194"/>
      <c r="AK30" s="194"/>
      <c r="AL30" s="195"/>
      <c r="AM30" s="195"/>
      <c r="AN30" s="195"/>
      <c r="AO30" s="195"/>
      <c r="AP30" s="396"/>
    </row>
    <row r="31" spans="1:42">
      <c r="A31" s="216" t="s">
        <v>42</v>
      </c>
      <c r="B31" s="220" t="s">
        <v>20</v>
      </c>
      <c r="C31" s="24">
        <f>C32+C33+C38+C40+C47+C34+C39+C48+C50+C51</f>
        <v>7052.7</v>
      </c>
      <c r="D31" s="24">
        <f>D32+D33+D38+D40+D47+D34+D39+D48+D50+D51</f>
        <v>0</v>
      </c>
      <c r="E31" s="24">
        <f>E32+E33+E38+E40+E47+E34+E39+E48+E50+E51</f>
        <v>7052716.3899999997</v>
      </c>
      <c r="F31" s="24">
        <f>F32+F33+F38+F40+F47+F34+F39+F48+F50+F51</f>
        <v>6973.7163900000005</v>
      </c>
      <c r="G31" s="24">
        <f>G32+G33+G38+G40+G47+G34+G39+G48+G50+G51</f>
        <v>1.6390000000068738E-2</v>
      </c>
      <c r="H31" s="15">
        <f>SUM(H32:H51)</f>
        <v>0</v>
      </c>
      <c r="I31" s="15">
        <f>SUM(I32:I51)</f>
        <v>6369.8</v>
      </c>
      <c r="J31" s="15">
        <f>SUM(J32:J51)</f>
        <v>0</v>
      </c>
      <c r="K31" s="218">
        <f>SUM(K32:K51)</f>
        <v>0</v>
      </c>
      <c r="L31" s="24">
        <f>SUM(L32:L51)</f>
        <v>19991584.880000003</v>
      </c>
      <c r="M31" s="219">
        <f t="shared" si="24"/>
        <v>19991584.880000003</v>
      </c>
      <c r="N31" s="24">
        <f>SUM(N32:N51)</f>
        <v>0</v>
      </c>
      <c r="O31" s="24"/>
      <c r="P31" s="24"/>
      <c r="Q31" s="24">
        <f t="shared" ref="Q31:W31" si="25">SUM(Q32:Q51)</f>
        <v>32531745.879999999</v>
      </c>
      <c r="R31" s="24">
        <f t="shared" si="25"/>
        <v>5042820</v>
      </c>
      <c r="S31" s="24">
        <f t="shared" si="25"/>
        <v>29178869</v>
      </c>
      <c r="T31" s="24">
        <f>SUM(T32:T51)</f>
        <v>23778832.559999999</v>
      </c>
      <c r="U31" s="24">
        <f t="shared" si="25"/>
        <v>32006323</v>
      </c>
      <c r="V31" s="24">
        <f t="shared" si="25"/>
        <v>38851056</v>
      </c>
      <c r="W31" s="24">
        <f t="shared" si="25"/>
        <v>32157620</v>
      </c>
      <c r="X31" s="25">
        <f t="shared" si="4"/>
        <v>8378787.4400000013</v>
      </c>
      <c r="Y31" s="24">
        <f>SUM(Y32:Y51)</f>
        <v>65725456</v>
      </c>
      <c r="Z31" s="24">
        <f>SUM(Z32:Z51)</f>
        <v>5523860.2000000002</v>
      </c>
      <c r="AA31" s="24">
        <f>SUM(AA32:AA51)</f>
        <v>-60586215.799999997</v>
      </c>
      <c r="AB31" s="24">
        <f>SUM(AB32:AB51)</f>
        <v>3285695.5</v>
      </c>
      <c r="AC31" s="24"/>
      <c r="AD31" s="24">
        <f t="shared" ref="AD31:AO31" si="26">SUM(AD32:AD51)</f>
        <v>0</v>
      </c>
      <c r="AE31" s="24">
        <f t="shared" si="26"/>
        <v>32531745.879999999</v>
      </c>
      <c r="AF31" s="24">
        <f t="shared" si="26"/>
        <v>0</v>
      </c>
      <c r="AG31" s="24">
        <f t="shared" si="26"/>
        <v>0</v>
      </c>
      <c r="AH31" s="24">
        <f t="shared" si="26"/>
        <v>29178869</v>
      </c>
      <c r="AI31" s="24">
        <f t="shared" si="26"/>
        <v>23778832.559999999</v>
      </c>
      <c r="AJ31" s="24">
        <f t="shared" si="26"/>
        <v>0</v>
      </c>
      <c r="AK31" s="24">
        <f t="shared" si="26"/>
        <v>0</v>
      </c>
      <c r="AL31" s="24">
        <f t="shared" si="26"/>
        <v>32006323</v>
      </c>
      <c r="AM31" s="24">
        <f t="shared" si="26"/>
        <v>38851056</v>
      </c>
      <c r="AN31" s="24">
        <f t="shared" si="26"/>
        <v>0</v>
      </c>
      <c r="AO31" s="24">
        <f t="shared" si="26"/>
        <v>65725456</v>
      </c>
      <c r="AP31" s="396"/>
    </row>
    <row r="32" spans="1:42" ht="20.25" customHeight="1">
      <c r="A32" s="171"/>
      <c r="B32" s="30" t="s">
        <v>21</v>
      </c>
      <c r="C32" s="25">
        <f>3236+2126</f>
        <v>5362</v>
      </c>
      <c r="D32" s="25"/>
      <c r="E32" s="25">
        <f>3236000+2126000</f>
        <v>5362000</v>
      </c>
      <c r="F32" s="116">
        <f>E32/1000</f>
        <v>5362</v>
      </c>
      <c r="G32" s="116">
        <f>F32-C32</f>
        <v>0</v>
      </c>
      <c r="H32" s="114"/>
      <c r="I32" s="114">
        <v>5412</v>
      </c>
      <c r="J32" s="114"/>
      <c r="K32" s="131">
        <v>0</v>
      </c>
      <c r="L32" s="195">
        <f>AD32+AE32</f>
        <v>2314762</v>
      </c>
      <c r="M32" s="195">
        <f t="shared" si="24"/>
        <v>2314762</v>
      </c>
      <c r="N32" s="195">
        <v>0</v>
      </c>
      <c r="O32" s="195"/>
      <c r="P32" s="195"/>
      <c r="Q32" s="25">
        <f>AD32+AE32</f>
        <v>2314762</v>
      </c>
      <c r="R32" s="195">
        <v>1173820</v>
      </c>
      <c r="S32" s="25">
        <f t="shared" ref="S32:T48" si="27">AF32+AH32</f>
        <v>1157381</v>
      </c>
      <c r="T32" s="25">
        <f t="shared" si="27"/>
        <v>2291000</v>
      </c>
      <c r="U32" s="25">
        <f t="shared" ref="U32:V48" si="28">AJ32+AL32</f>
        <v>1157381</v>
      </c>
      <c r="V32" s="25">
        <f t="shared" si="28"/>
        <v>2291000</v>
      </c>
      <c r="W32" s="25">
        <v>2158000</v>
      </c>
      <c r="X32" s="25">
        <f t="shared" si="4"/>
        <v>-133000</v>
      </c>
      <c r="Y32" s="25">
        <f t="shared" ref="Y32:Y50" si="29">AN32+AO32</f>
        <v>2291000</v>
      </c>
      <c r="Z32" s="25">
        <v>1079000</v>
      </c>
      <c r="AA32" s="25">
        <f t="shared" si="5"/>
        <v>-1212000</v>
      </c>
      <c r="AB32" s="25">
        <v>719000</v>
      </c>
      <c r="AC32" s="202">
        <v>906</v>
      </c>
      <c r="AD32" s="194"/>
      <c r="AE32" s="195">
        <f>2314762</f>
        <v>2314762</v>
      </c>
      <c r="AF32" s="194"/>
      <c r="AG32" s="194"/>
      <c r="AH32" s="195">
        <f>1157381</f>
        <v>1157381</v>
      </c>
      <c r="AI32" s="195">
        <v>2291000</v>
      </c>
      <c r="AJ32" s="194"/>
      <c r="AK32" s="194"/>
      <c r="AL32" s="195">
        <f>1157381</f>
        <v>1157381</v>
      </c>
      <c r="AM32" s="195">
        <v>2291000</v>
      </c>
      <c r="AN32" s="195"/>
      <c r="AO32" s="195">
        <v>2291000</v>
      </c>
      <c r="AP32" s="396"/>
    </row>
    <row r="33" spans="1:42" ht="18" customHeight="1">
      <c r="A33" s="171"/>
      <c r="B33" s="30" t="s">
        <v>123</v>
      </c>
      <c r="C33" s="25">
        <v>500</v>
      </c>
      <c r="D33" s="25"/>
      <c r="E33" s="25">
        <v>500000</v>
      </c>
      <c r="F33" s="116">
        <f>E33/1000</f>
        <v>500</v>
      </c>
      <c r="G33" s="116">
        <f>F33-C33</f>
        <v>0</v>
      </c>
      <c r="H33" s="114"/>
      <c r="I33" s="114">
        <v>543.79999999999995</v>
      </c>
      <c r="J33" s="114"/>
      <c r="K33" s="131">
        <v>0</v>
      </c>
      <c r="L33" s="195">
        <f>AD33+AE33</f>
        <v>7945000</v>
      </c>
      <c r="M33" s="195">
        <f t="shared" si="24"/>
        <v>7945000</v>
      </c>
      <c r="N33" s="195">
        <v>0</v>
      </c>
      <c r="O33" s="195"/>
      <c r="P33" s="195"/>
      <c r="Q33" s="25">
        <f>AD33+AE33</f>
        <v>7945000</v>
      </c>
      <c r="R33" s="195">
        <v>1700000</v>
      </c>
      <c r="S33" s="25">
        <f t="shared" si="27"/>
        <v>4295000</v>
      </c>
      <c r="T33" s="25">
        <f t="shared" si="27"/>
        <v>6495000</v>
      </c>
      <c r="U33" s="25">
        <f t="shared" si="28"/>
        <v>3795000</v>
      </c>
      <c r="V33" s="25">
        <f t="shared" si="28"/>
        <v>5991000</v>
      </c>
      <c r="W33" s="25">
        <v>2986500</v>
      </c>
      <c r="X33" s="25">
        <f t="shared" si="4"/>
        <v>-3508500</v>
      </c>
      <c r="Y33" s="25">
        <f t="shared" si="29"/>
        <v>7991000</v>
      </c>
      <c r="Z33" s="25">
        <v>1991000</v>
      </c>
      <c r="AA33" s="25">
        <f t="shared" si="5"/>
        <v>-6000000</v>
      </c>
      <c r="AB33" s="25">
        <v>995500</v>
      </c>
      <c r="AC33" s="202">
        <v>906</v>
      </c>
      <c r="AD33" s="194"/>
      <c r="AE33" s="195">
        <v>7945000</v>
      </c>
      <c r="AF33" s="194"/>
      <c r="AG33" s="194"/>
      <c r="AH33" s="195">
        <v>4295000</v>
      </c>
      <c r="AI33" s="195">
        <f>3441000+3054000</f>
        <v>6495000</v>
      </c>
      <c r="AJ33" s="194"/>
      <c r="AK33" s="194"/>
      <c r="AL33" s="195">
        <v>3795000</v>
      </c>
      <c r="AM33" s="195">
        <v>5991000</v>
      </c>
      <c r="AN33" s="195"/>
      <c r="AO33" s="195">
        <v>7991000</v>
      </c>
      <c r="AP33" s="396" t="s">
        <v>230</v>
      </c>
    </row>
    <row r="34" spans="1:42" ht="23.25" customHeight="1">
      <c r="A34" s="171"/>
      <c r="B34" s="40" t="s">
        <v>120</v>
      </c>
      <c r="C34" s="25"/>
      <c r="D34" s="25"/>
      <c r="E34" s="25"/>
      <c r="F34" s="116">
        <f>E34/1000</f>
        <v>0</v>
      </c>
      <c r="G34" s="116">
        <f>F34-C34</f>
        <v>0</v>
      </c>
      <c r="H34" s="114"/>
      <c r="I34" s="114"/>
      <c r="J34" s="114"/>
      <c r="K34" s="131">
        <v>0</v>
      </c>
      <c r="L34" s="195">
        <f>AD34+AE34</f>
        <v>0</v>
      </c>
      <c r="M34" s="195">
        <f t="shared" si="24"/>
        <v>0</v>
      </c>
      <c r="N34" s="195">
        <v>0</v>
      </c>
      <c r="O34" s="195"/>
      <c r="P34" s="195"/>
      <c r="Q34" s="25">
        <f>AD34+AE34</f>
        <v>0</v>
      </c>
      <c r="R34" s="195">
        <v>0</v>
      </c>
      <c r="S34" s="25">
        <f t="shared" si="27"/>
        <v>1767100</v>
      </c>
      <c r="T34" s="25">
        <f t="shared" si="27"/>
        <v>1388900</v>
      </c>
      <c r="U34" s="25">
        <f t="shared" si="28"/>
        <v>0</v>
      </c>
      <c r="V34" s="25">
        <f t="shared" si="28"/>
        <v>0</v>
      </c>
      <c r="W34" s="25">
        <v>0</v>
      </c>
      <c r="X34" s="25">
        <f t="shared" si="4"/>
        <v>-1388900</v>
      </c>
      <c r="Y34" s="25">
        <f t="shared" si="29"/>
        <v>0</v>
      </c>
      <c r="Z34" s="25">
        <v>0</v>
      </c>
      <c r="AA34" s="25">
        <f t="shared" si="5"/>
        <v>0</v>
      </c>
      <c r="AB34" s="25">
        <v>0</v>
      </c>
      <c r="AC34" s="202">
        <v>905</v>
      </c>
      <c r="AD34" s="194"/>
      <c r="AE34" s="195"/>
      <c r="AF34" s="194"/>
      <c r="AG34" s="194"/>
      <c r="AH34" s="195">
        <v>1767100</v>
      </c>
      <c r="AI34" s="195">
        <v>1388900</v>
      </c>
      <c r="AJ34" s="194"/>
      <c r="AK34" s="194"/>
      <c r="AL34" s="195"/>
      <c r="AM34" s="195"/>
      <c r="AN34" s="195"/>
      <c r="AO34" s="195">
        <v>0</v>
      </c>
      <c r="AP34" s="396"/>
    </row>
    <row r="35" spans="1:42" ht="23.25" hidden="1" customHeight="1">
      <c r="A35" s="171"/>
      <c r="B35" s="40" t="s">
        <v>187</v>
      </c>
      <c r="C35" s="25"/>
      <c r="D35" s="25"/>
      <c r="E35" s="25"/>
      <c r="F35" s="116"/>
      <c r="G35" s="116"/>
      <c r="H35" s="114"/>
      <c r="I35" s="114"/>
      <c r="J35" s="114"/>
      <c r="K35" s="131"/>
      <c r="L35" s="195"/>
      <c r="M35" s="195"/>
      <c r="N35" s="195"/>
      <c r="O35" s="195"/>
      <c r="P35" s="195"/>
      <c r="Q35" s="25"/>
      <c r="R35" s="195"/>
      <c r="S35" s="25"/>
      <c r="T35" s="25">
        <f t="shared" si="27"/>
        <v>0</v>
      </c>
      <c r="U35" s="25"/>
      <c r="V35" s="25">
        <f t="shared" si="28"/>
        <v>0</v>
      </c>
      <c r="W35" s="25">
        <v>0</v>
      </c>
      <c r="X35" s="25">
        <f t="shared" si="4"/>
        <v>0</v>
      </c>
      <c r="Y35" s="25">
        <f t="shared" si="29"/>
        <v>0</v>
      </c>
      <c r="Z35" s="25">
        <v>157740.20000000001</v>
      </c>
      <c r="AA35" s="25">
        <f t="shared" si="5"/>
        <v>157740.20000000001</v>
      </c>
      <c r="AB35" s="25">
        <v>109075.5</v>
      </c>
      <c r="AC35" s="202">
        <v>905</v>
      </c>
      <c r="AD35" s="194"/>
      <c r="AE35" s="195"/>
      <c r="AF35" s="194"/>
      <c r="AG35" s="194"/>
      <c r="AH35" s="195"/>
      <c r="AI35" s="195"/>
      <c r="AJ35" s="194"/>
      <c r="AK35" s="194"/>
      <c r="AL35" s="195"/>
      <c r="AM35" s="195"/>
      <c r="AN35" s="195"/>
      <c r="AO35" s="195"/>
      <c r="AP35" s="396"/>
    </row>
    <row r="36" spans="1:42" ht="36.75" customHeight="1">
      <c r="A36" s="171"/>
      <c r="B36" s="40" t="s">
        <v>172</v>
      </c>
      <c r="C36" s="25"/>
      <c r="D36" s="25"/>
      <c r="E36" s="25"/>
      <c r="F36" s="116"/>
      <c r="G36" s="116"/>
      <c r="H36" s="114"/>
      <c r="I36" s="114"/>
      <c r="J36" s="114"/>
      <c r="K36" s="131"/>
      <c r="L36" s="195"/>
      <c r="M36" s="195"/>
      <c r="N36" s="195"/>
      <c r="O36" s="195"/>
      <c r="P36" s="195"/>
      <c r="Q36" s="25">
        <f t="shared" ref="Q36:Q48" si="30">AD36+AE36</f>
        <v>0</v>
      </c>
      <c r="R36" s="195"/>
      <c r="S36" s="25">
        <f t="shared" ref="S36:S48" si="31">AF36+AH36</f>
        <v>8000000</v>
      </c>
      <c r="T36" s="25">
        <f t="shared" si="27"/>
        <v>8000000</v>
      </c>
      <c r="U36" s="25">
        <f t="shared" ref="U36:U48" si="32">AJ36+AL36</f>
        <v>21010000</v>
      </c>
      <c r="V36" s="25">
        <f t="shared" si="28"/>
        <v>21114000</v>
      </c>
      <c r="W36" s="25">
        <v>23849000</v>
      </c>
      <c r="X36" s="25">
        <f t="shared" si="4"/>
        <v>15849000</v>
      </c>
      <c r="Y36" s="25">
        <f t="shared" si="29"/>
        <v>0</v>
      </c>
      <c r="Z36" s="25">
        <v>0</v>
      </c>
      <c r="AA36" s="25">
        <f t="shared" si="5"/>
        <v>0</v>
      </c>
      <c r="AB36" s="25">
        <v>0</v>
      </c>
      <c r="AC36" s="202">
        <v>905</v>
      </c>
      <c r="AD36" s="194"/>
      <c r="AE36" s="195"/>
      <c r="AF36" s="194"/>
      <c r="AG36" s="194"/>
      <c r="AH36" s="195">
        <v>8000000</v>
      </c>
      <c r="AI36" s="195">
        <v>8000000</v>
      </c>
      <c r="AJ36" s="194"/>
      <c r="AK36" s="194"/>
      <c r="AL36" s="195">
        <v>21010000</v>
      </c>
      <c r="AM36" s="195">
        <v>21114000</v>
      </c>
      <c r="AN36" s="195"/>
      <c r="AO36" s="195"/>
      <c r="AP36" s="396" t="s">
        <v>234</v>
      </c>
    </row>
    <row r="37" spans="1:42" ht="30">
      <c r="A37" s="171"/>
      <c r="B37" s="121" t="s">
        <v>88</v>
      </c>
      <c r="C37" s="25"/>
      <c r="D37" s="25"/>
      <c r="E37" s="25"/>
      <c r="F37" s="116"/>
      <c r="G37" s="116"/>
      <c r="H37" s="114"/>
      <c r="I37" s="114"/>
      <c r="J37" s="114"/>
      <c r="K37" s="131">
        <v>0</v>
      </c>
      <c r="L37" s="195">
        <f>AD37+AE37</f>
        <v>5001000</v>
      </c>
      <c r="M37" s="195">
        <f>L37-K37</f>
        <v>5001000</v>
      </c>
      <c r="N37" s="195">
        <v>0</v>
      </c>
      <c r="O37" s="195"/>
      <c r="P37" s="195"/>
      <c r="Q37" s="25">
        <f t="shared" si="30"/>
        <v>5001000</v>
      </c>
      <c r="R37" s="195">
        <v>1500000</v>
      </c>
      <c r="S37" s="25">
        <f t="shared" si="31"/>
        <v>2701000</v>
      </c>
      <c r="T37" s="25">
        <f t="shared" si="27"/>
        <v>3834000</v>
      </c>
      <c r="U37" s="25">
        <f t="shared" si="32"/>
        <v>2988900</v>
      </c>
      <c r="V37" s="25">
        <f t="shared" si="28"/>
        <v>4334000</v>
      </c>
      <c r="W37" s="25">
        <v>2502000</v>
      </c>
      <c r="X37" s="25">
        <f t="shared" si="4"/>
        <v>-1332000</v>
      </c>
      <c r="Y37" s="25">
        <f t="shared" si="29"/>
        <v>4584000</v>
      </c>
      <c r="Z37" s="25">
        <v>1668000</v>
      </c>
      <c r="AA37" s="25">
        <f t="shared" si="5"/>
        <v>-2916000</v>
      </c>
      <c r="AB37" s="25">
        <v>834000</v>
      </c>
      <c r="AC37" s="202">
        <v>906</v>
      </c>
      <c r="AD37" s="194"/>
      <c r="AE37" s="195">
        <v>5001000</v>
      </c>
      <c r="AF37" s="194"/>
      <c r="AG37" s="194"/>
      <c r="AH37" s="195">
        <v>2701000</v>
      </c>
      <c r="AI37" s="195">
        <v>3834000</v>
      </c>
      <c r="AJ37" s="194"/>
      <c r="AK37" s="194"/>
      <c r="AL37" s="195">
        <v>2988900</v>
      </c>
      <c r="AM37" s="195">
        <v>4334000</v>
      </c>
      <c r="AN37" s="195"/>
      <c r="AO37" s="195">
        <v>4584000</v>
      </c>
      <c r="AP37" s="396" t="s">
        <v>231</v>
      </c>
    </row>
    <row r="38" spans="1:42" ht="15" customHeight="1">
      <c r="A38" s="171"/>
      <c r="B38" s="30" t="s">
        <v>89</v>
      </c>
      <c r="C38" s="25">
        <v>508.9</v>
      </c>
      <c r="D38" s="25"/>
      <c r="E38" s="25">
        <v>508947.39</v>
      </c>
      <c r="F38" s="116">
        <f>E38/1000</f>
        <v>508.94739000000004</v>
      </c>
      <c r="G38" s="116">
        <f>F38-C38</f>
        <v>4.7390000000063992E-2</v>
      </c>
      <c r="H38" s="114"/>
      <c r="I38" s="114">
        <v>111</v>
      </c>
      <c r="J38" s="114"/>
      <c r="K38" s="131">
        <v>0</v>
      </c>
      <c r="L38" s="195">
        <f>AD38+AE38</f>
        <v>182000</v>
      </c>
      <c r="M38" s="195">
        <f>L38-K38</f>
        <v>182000</v>
      </c>
      <c r="N38" s="195">
        <v>0</v>
      </c>
      <c r="O38" s="195"/>
      <c r="P38" s="195"/>
      <c r="Q38" s="25">
        <f t="shared" si="30"/>
        <v>182000</v>
      </c>
      <c r="R38" s="195">
        <v>109000</v>
      </c>
      <c r="S38" s="25">
        <f t="shared" si="31"/>
        <v>109000</v>
      </c>
      <c r="T38" s="25">
        <f t="shared" si="27"/>
        <v>173000</v>
      </c>
      <c r="U38" s="25">
        <f t="shared" si="32"/>
        <v>109000</v>
      </c>
      <c r="V38" s="25">
        <f t="shared" si="28"/>
        <v>173000</v>
      </c>
      <c r="W38" s="25">
        <v>166000</v>
      </c>
      <c r="X38" s="25">
        <f t="shared" si="4"/>
        <v>-7000</v>
      </c>
      <c r="Y38" s="25">
        <f t="shared" si="29"/>
        <v>173000</v>
      </c>
      <c r="Z38" s="25">
        <v>132000</v>
      </c>
      <c r="AA38" s="25">
        <f t="shared" si="5"/>
        <v>-41000</v>
      </c>
      <c r="AB38" s="25">
        <v>132000</v>
      </c>
      <c r="AC38" s="202">
        <v>902</v>
      </c>
      <c r="AD38" s="194"/>
      <c r="AE38" s="195">
        <v>182000</v>
      </c>
      <c r="AF38" s="194"/>
      <c r="AG38" s="194"/>
      <c r="AH38" s="195">
        <v>109000</v>
      </c>
      <c r="AI38" s="195">
        <v>173000</v>
      </c>
      <c r="AJ38" s="194"/>
      <c r="AK38" s="194"/>
      <c r="AL38" s="195">
        <v>109000</v>
      </c>
      <c r="AM38" s="195">
        <v>173000</v>
      </c>
      <c r="AN38" s="195"/>
      <c r="AO38" s="195">
        <v>173000</v>
      </c>
      <c r="AP38" s="396"/>
    </row>
    <row r="39" spans="1:42" ht="27" customHeight="1">
      <c r="A39" s="171"/>
      <c r="B39" s="30" t="s">
        <v>31</v>
      </c>
      <c r="C39" s="16">
        <v>31.3</v>
      </c>
      <c r="D39" s="16"/>
      <c r="E39" s="25">
        <v>31250</v>
      </c>
      <c r="F39" s="116">
        <f>E39/1000</f>
        <v>31.25</v>
      </c>
      <c r="G39" s="116">
        <f>F39-C39</f>
        <v>-5.0000000000000711E-2</v>
      </c>
      <c r="H39" s="114"/>
      <c r="I39" s="114">
        <v>32</v>
      </c>
      <c r="J39" s="114"/>
      <c r="K39" s="131">
        <v>0</v>
      </c>
      <c r="L39" s="195">
        <f>AD39+AE39</f>
        <v>144000</v>
      </c>
      <c r="M39" s="195">
        <f>L39-K39</f>
        <v>144000</v>
      </c>
      <c r="N39" s="195">
        <v>0</v>
      </c>
      <c r="O39" s="195"/>
      <c r="P39" s="195"/>
      <c r="Q39" s="25">
        <f t="shared" si="30"/>
        <v>144000</v>
      </c>
      <c r="R39" s="195">
        <v>105000</v>
      </c>
      <c r="S39" s="25">
        <f t="shared" si="31"/>
        <v>144000</v>
      </c>
      <c r="T39" s="25">
        <f t="shared" si="27"/>
        <v>144000</v>
      </c>
      <c r="U39" s="25">
        <f t="shared" si="32"/>
        <v>144000</v>
      </c>
      <c r="V39" s="25">
        <f t="shared" si="28"/>
        <v>144000</v>
      </c>
      <c r="W39" s="25">
        <v>111500</v>
      </c>
      <c r="X39" s="25">
        <f t="shared" si="4"/>
        <v>-32500</v>
      </c>
      <c r="Y39" s="25">
        <f t="shared" si="29"/>
        <v>144000</v>
      </c>
      <c r="Z39" s="25">
        <v>111500</v>
      </c>
      <c r="AA39" s="25">
        <f t="shared" si="5"/>
        <v>-32500</v>
      </c>
      <c r="AB39" s="25">
        <v>111500</v>
      </c>
      <c r="AC39" s="202">
        <v>902</v>
      </c>
      <c r="AD39" s="194"/>
      <c r="AE39" s="195">
        <v>144000</v>
      </c>
      <c r="AF39" s="194"/>
      <c r="AG39" s="194"/>
      <c r="AH39" s="195">
        <v>144000</v>
      </c>
      <c r="AI39" s="195">
        <v>144000</v>
      </c>
      <c r="AJ39" s="194"/>
      <c r="AK39" s="194"/>
      <c r="AL39" s="195">
        <v>144000</v>
      </c>
      <c r="AM39" s="195">
        <v>144000</v>
      </c>
      <c r="AN39" s="195"/>
      <c r="AO39" s="195">
        <v>144000</v>
      </c>
      <c r="AP39" s="396"/>
    </row>
    <row r="40" spans="1:42" ht="13.5" customHeight="1">
      <c r="A40" s="171"/>
      <c r="B40" s="165" t="s">
        <v>28</v>
      </c>
      <c r="C40" s="16">
        <v>571.5</v>
      </c>
      <c r="D40" s="16"/>
      <c r="E40" s="25">
        <v>571519</v>
      </c>
      <c r="F40" s="116">
        <f>E40/1000</f>
        <v>571.51900000000001</v>
      </c>
      <c r="G40" s="116">
        <f>F40-C40</f>
        <v>1.9000000000005457E-2</v>
      </c>
      <c r="H40" s="114"/>
      <c r="I40" s="114">
        <v>271</v>
      </c>
      <c r="J40" s="114"/>
      <c r="K40" s="131">
        <v>0</v>
      </c>
      <c r="L40" s="195">
        <f>AD40+AE40</f>
        <v>387324</v>
      </c>
      <c r="M40" s="195">
        <f>L40-K40</f>
        <v>387324</v>
      </c>
      <c r="N40" s="195">
        <v>0</v>
      </c>
      <c r="O40" s="195"/>
      <c r="P40" s="195"/>
      <c r="Q40" s="25">
        <f t="shared" si="30"/>
        <v>387324</v>
      </c>
      <c r="R40" s="195">
        <v>455000</v>
      </c>
      <c r="S40" s="25">
        <f t="shared" si="31"/>
        <v>387324</v>
      </c>
      <c r="T40" s="25">
        <f t="shared" si="27"/>
        <v>384620</v>
      </c>
      <c r="U40" s="25">
        <f t="shared" si="32"/>
        <v>387324</v>
      </c>
      <c r="V40" s="25">
        <f t="shared" si="28"/>
        <v>384620</v>
      </c>
      <c r="W40" s="25">
        <v>384620</v>
      </c>
      <c r="X40" s="25">
        <f t="shared" si="4"/>
        <v>0</v>
      </c>
      <c r="Y40" s="25">
        <f t="shared" si="29"/>
        <v>384620</v>
      </c>
      <c r="Z40" s="25"/>
      <c r="AA40" s="25">
        <f t="shared" si="5"/>
        <v>-384620</v>
      </c>
      <c r="AB40" s="25"/>
      <c r="AC40" s="202">
        <v>902</v>
      </c>
      <c r="AD40" s="194"/>
      <c r="AE40" s="195">
        <v>387324</v>
      </c>
      <c r="AF40" s="194"/>
      <c r="AG40" s="194"/>
      <c r="AH40" s="195">
        <v>387324</v>
      </c>
      <c r="AI40" s="195">
        <v>384620</v>
      </c>
      <c r="AJ40" s="194"/>
      <c r="AK40" s="194"/>
      <c r="AL40" s="195">
        <v>387324</v>
      </c>
      <c r="AM40" s="195">
        <v>384620</v>
      </c>
      <c r="AN40" s="195"/>
      <c r="AO40" s="195">
        <v>384620</v>
      </c>
      <c r="AP40" s="396"/>
    </row>
    <row r="41" spans="1:42" ht="16.5" customHeight="1">
      <c r="A41" s="171"/>
      <c r="B41" s="165" t="s">
        <v>211</v>
      </c>
      <c r="C41" s="16"/>
      <c r="D41" s="16"/>
      <c r="E41" s="25"/>
      <c r="F41" s="116"/>
      <c r="G41" s="116"/>
      <c r="H41" s="114"/>
      <c r="I41" s="114"/>
      <c r="J41" s="114"/>
      <c r="K41" s="131"/>
      <c r="L41" s="195"/>
      <c r="M41" s="195"/>
      <c r="N41" s="195"/>
      <c r="O41" s="195"/>
      <c r="P41" s="195"/>
      <c r="Q41" s="25"/>
      <c r="R41" s="195"/>
      <c r="S41" s="25"/>
      <c r="T41" s="25">
        <v>0</v>
      </c>
      <c r="U41" s="25"/>
      <c r="V41" s="25">
        <v>0</v>
      </c>
      <c r="W41" s="25">
        <v>0</v>
      </c>
      <c r="X41" s="25">
        <f t="shared" si="4"/>
        <v>0</v>
      </c>
      <c r="Y41" s="24"/>
      <c r="Z41" s="25">
        <v>384620</v>
      </c>
      <c r="AA41" s="25"/>
      <c r="AB41" s="25">
        <v>384620</v>
      </c>
      <c r="AC41" s="202"/>
      <c r="AD41" s="194"/>
      <c r="AE41" s="195"/>
      <c r="AF41" s="194"/>
      <c r="AG41" s="194"/>
      <c r="AH41" s="195"/>
      <c r="AI41" s="195"/>
      <c r="AJ41" s="194"/>
      <c r="AK41" s="194"/>
      <c r="AL41" s="195"/>
      <c r="AM41" s="195"/>
      <c r="AN41" s="195"/>
      <c r="AO41" s="195"/>
      <c r="AP41" s="396"/>
    </row>
    <row r="42" spans="1:42" ht="24">
      <c r="A42" s="171"/>
      <c r="B42" s="165" t="s">
        <v>157</v>
      </c>
      <c r="C42" s="16"/>
      <c r="D42" s="16"/>
      <c r="E42" s="25"/>
      <c r="F42" s="116"/>
      <c r="G42" s="116"/>
      <c r="H42" s="114"/>
      <c r="I42" s="114"/>
      <c r="J42" s="114"/>
      <c r="K42" s="131"/>
      <c r="L42" s="195"/>
      <c r="M42" s="195"/>
      <c r="N42" s="195"/>
      <c r="O42" s="195"/>
      <c r="P42" s="195"/>
      <c r="Q42" s="25">
        <f t="shared" si="30"/>
        <v>0</v>
      </c>
      <c r="R42" s="195"/>
      <c r="S42" s="25">
        <f t="shared" si="31"/>
        <v>5000000</v>
      </c>
      <c r="T42" s="25">
        <f t="shared" si="27"/>
        <v>440000</v>
      </c>
      <c r="U42" s="25">
        <f t="shared" si="32"/>
        <v>0</v>
      </c>
      <c r="V42" s="25">
        <f t="shared" si="28"/>
        <v>0</v>
      </c>
      <c r="W42" s="25">
        <v>0</v>
      </c>
      <c r="X42" s="25">
        <f t="shared" si="4"/>
        <v>-440000</v>
      </c>
      <c r="Y42" s="25">
        <f t="shared" si="29"/>
        <v>0</v>
      </c>
      <c r="Z42" s="25">
        <v>0</v>
      </c>
      <c r="AA42" s="25">
        <f t="shared" si="5"/>
        <v>0</v>
      </c>
      <c r="AB42" s="25">
        <v>0</v>
      </c>
      <c r="AC42" s="202">
        <v>907</v>
      </c>
      <c r="AD42" s="194"/>
      <c r="AE42" s="195">
        <v>0</v>
      </c>
      <c r="AF42" s="194"/>
      <c r="AG42" s="194"/>
      <c r="AH42" s="195">
        <v>5000000</v>
      </c>
      <c r="AI42" s="195">
        <f>10000000-9560000</f>
        <v>440000</v>
      </c>
      <c r="AJ42" s="194"/>
      <c r="AK42" s="194"/>
      <c r="AL42" s="195"/>
      <c r="AM42" s="195"/>
      <c r="AN42" s="195"/>
      <c r="AO42" s="195"/>
      <c r="AP42" s="396"/>
    </row>
    <row r="43" spans="1:42" ht="24">
      <c r="A43" s="171"/>
      <c r="B43" s="165" t="s">
        <v>155</v>
      </c>
      <c r="C43" s="16"/>
      <c r="D43" s="16"/>
      <c r="E43" s="25"/>
      <c r="F43" s="116"/>
      <c r="G43" s="116"/>
      <c r="H43" s="114"/>
      <c r="I43" s="114"/>
      <c r="J43" s="114"/>
      <c r="K43" s="131"/>
      <c r="L43" s="195"/>
      <c r="M43" s="195"/>
      <c r="N43" s="195"/>
      <c r="O43" s="195"/>
      <c r="P43" s="195"/>
      <c r="Q43" s="25">
        <f t="shared" si="30"/>
        <v>10000000</v>
      </c>
      <c r="R43" s="195"/>
      <c r="S43" s="25">
        <f t="shared" si="31"/>
        <v>5000000</v>
      </c>
      <c r="T43" s="25">
        <f t="shared" si="27"/>
        <v>0</v>
      </c>
      <c r="U43" s="25">
        <f t="shared" si="32"/>
        <v>0</v>
      </c>
      <c r="V43" s="25">
        <f t="shared" si="28"/>
        <v>3000000</v>
      </c>
      <c r="W43" s="25">
        <v>0</v>
      </c>
      <c r="X43" s="25">
        <f t="shared" si="4"/>
        <v>0</v>
      </c>
      <c r="Y43" s="25">
        <f t="shared" si="29"/>
        <v>7200000</v>
      </c>
      <c r="Z43" s="25">
        <v>0</v>
      </c>
      <c r="AA43" s="25">
        <f t="shared" si="5"/>
        <v>-7200000</v>
      </c>
      <c r="AB43" s="25">
        <v>0</v>
      </c>
      <c r="AC43" s="202">
        <v>907</v>
      </c>
      <c r="AD43" s="194"/>
      <c r="AE43" s="195">
        <v>10000000</v>
      </c>
      <c r="AF43" s="194"/>
      <c r="AG43" s="194"/>
      <c r="AH43" s="195">
        <v>5000000</v>
      </c>
      <c r="AI43" s="195"/>
      <c r="AJ43" s="194"/>
      <c r="AK43" s="194"/>
      <c r="AL43" s="195"/>
      <c r="AM43" s="195">
        <v>3000000</v>
      </c>
      <c r="AN43" s="195"/>
      <c r="AO43" s="195">
        <v>7200000</v>
      </c>
      <c r="AP43" s="396"/>
    </row>
    <row r="44" spans="1:42" ht="24">
      <c r="A44" s="171"/>
      <c r="B44" s="165" t="s">
        <v>156</v>
      </c>
      <c r="C44" s="16"/>
      <c r="D44" s="16"/>
      <c r="E44" s="25"/>
      <c r="F44" s="116"/>
      <c r="G44" s="116"/>
      <c r="H44" s="114"/>
      <c r="I44" s="114"/>
      <c r="J44" s="114"/>
      <c r="K44" s="131"/>
      <c r="L44" s="195"/>
      <c r="M44" s="195"/>
      <c r="N44" s="195"/>
      <c r="O44" s="195"/>
      <c r="P44" s="195"/>
      <c r="Q44" s="25">
        <f t="shared" si="30"/>
        <v>600000</v>
      </c>
      <c r="R44" s="195"/>
      <c r="S44" s="25">
        <f t="shared" si="31"/>
        <v>600000</v>
      </c>
      <c r="T44" s="25">
        <f t="shared" si="27"/>
        <v>471992.56</v>
      </c>
      <c r="U44" s="25">
        <f t="shared" si="32"/>
        <v>600000</v>
      </c>
      <c r="V44" s="25">
        <f t="shared" si="28"/>
        <v>400000</v>
      </c>
      <c r="W44" s="25">
        <v>0</v>
      </c>
      <c r="X44" s="25">
        <f t="shared" si="4"/>
        <v>-471992.56</v>
      </c>
      <c r="Y44" s="25">
        <f t="shared" si="29"/>
        <v>400000</v>
      </c>
      <c r="Z44" s="25">
        <v>0</v>
      </c>
      <c r="AA44" s="25">
        <f t="shared" si="5"/>
        <v>-400000</v>
      </c>
      <c r="AB44" s="25">
        <v>0</v>
      </c>
      <c r="AC44" s="202">
        <v>906</v>
      </c>
      <c r="AD44" s="194"/>
      <c r="AE44" s="195">
        <v>600000</v>
      </c>
      <c r="AF44" s="194"/>
      <c r="AG44" s="194"/>
      <c r="AH44" s="195">
        <v>600000</v>
      </c>
      <c r="AI44" s="195">
        <f>200000+271992.56</f>
        <v>471992.56</v>
      </c>
      <c r="AJ44" s="194"/>
      <c r="AK44" s="194"/>
      <c r="AL44" s="195">
        <v>600000</v>
      </c>
      <c r="AM44" s="195">
        <v>400000</v>
      </c>
      <c r="AN44" s="195"/>
      <c r="AO44" s="195">
        <v>400000</v>
      </c>
      <c r="AP44" s="396"/>
    </row>
    <row r="45" spans="1:42" ht="24" hidden="1">
      <c r="A45" s="171"/>
      <c r="B45" s="165" t="s">
        <v>153</v>
      </c>
      <c r="C45" s="16"/>
      <c r="D45" s="16"/>
      <c r="E45" s="25"/>
      <c r="F45" s="116"/>
      <c r="G45" s="116"/>
      <c r="H45" s="114"/>
      <c r="I45" s="114"/>
      <c r="J45" s="114"/>
      <c r="K45" s="131"/>
      <c r="L45" s="195"/>
      <c r="M45" s="195"/>
      <c r="N45" s="195"/>
      <c r="O45" s="195"/>
      <c r="P45" s="195"/>
      <c r="Q45" s="25">
        <f t="shared" si="30"/>
        <v>0</v>
      </c>
      <c r="R45" s="195"/>
      <c r="S45" s="25">
        <f t="shared" si="31"/>
        <v>0</v>
      </c>
      <c r="T45" s="25">
        <f t="shared" si="27"/>
        <v>0</v>
      </c>
      <c r="U45" s="25">
        <f t="shared" si="32"/>
        <v>1814718</v>
      </c>
      <c r="V45" s="25">
        <f t="shared" si="28"/>
        <v>0</v>
      </c>
      <c r="W45" s="25">
        <v>0</v>
      </c>
      <c r="X45" s="25">
        <f t="shared" si="4"/>
        <v>0</v>
      </c>
      <c r="Y45" s="25">
        <f t="shared" si="29"/>
        <v>0</v>
      </c>
      <c r="Z45" s="25"/>
      <c r="AA45" s="25">
        <f t="shared" si="5"/>
        <v>0</v>
      </c>
      <c r="AB45" s="25"/>
      <c r="AC45" s="202">
        <v>904</v>
      </c>
      <c r="AD45" s="194"/>
      <c r="AE45" s="195"/>
      <c r="AF45" s="194"/>
      <c r="AG45" s="194"/>
      <c r="AH45" s="195"/>
      <c r="AI45" s="195"/>
      <c r="AJ45" s="194"/>
      <c r="AK45" s="194"/>
      <c r="AL45" s="195">
        <v>1814718</v>
      </c>
      <c r="AM45" s="195"/>
      <c r="AN45" s="195"/>
      <c r="AO45" s="195"/>
      <c r="AP45" s="396"/>
    </row>
    <row r="46" spans="1:42" hidden="1">
      <c r="A46" s="171"/>
      <c r="B46" s="30" t="s">
        <v>175</v>
      </c>
      <c r="C46" s="16"/>
      <c r="D46" s="16"/>
      <c r="E46" s="25"/>
      <c r="F46" s="116"/>
      <c r="G46" s="116"/>
      <c r="H46" s="114"/>
      <c r="I46" s="114"/>
      <c r="J46" s="114"/>
      <c r="K46" s="131"/>
      <c r="L46" s="195"/>
      <c r="M46" s="195"/>
      <c r="N46" s="195"/>
      <c r="O46" s="195"/>
      <c r="P46" s="195"/>
      <c r="Q46" s="25">
        <f t="shared" si="30"/>
        <v>1940161</v>
      </c>
      <c r="R46" s="195"/>
      <c r="S46" s="25">
        <f t="shared" si="31"/>
        <v>0</v>
      </c>
      <c r="T46" s="25">
        <f t="shared" si="27"/>
        <v>0</v>
      </c>
      <c r="U46" s="25">
        <f t="shared" si="32"/>
        <v>0</v>
      </c>
      <c r="V46" s="25">
        <f t="shared" si="28"/>
        <v>1000000</v>
      </c>
      <c r="W46" s="25">
        <v>0</v>
      </c>
      <c r="X46" s="25">
        <f t="shared" si="4"/>
        <v>0</v>
      </c>
      <c r="Y46" s="25">
        <f t="shared" si="29"/>
        <v>538400</v>
      </c>
      <c r="Z46" s="25">
        <v>0</v>
      </c>
      <c r="AA46" s="25">
        <f t="shared" si="5"/>
        <v>-538400</v>
      </c>
      <c r="AB46" s="25">
        <v>0</v>
      </c>
      <c r="AC46" s="202">
        <v>907</v>
      </c>
      <c r="AD46" s="194"/>
      <c r="AE46" s="195">
        <v>1940161</v>
      </c>
      <c r="AF46" s="194"/>
      <c r="AG46" s="194"/>
      <c r="AH46" s="195"/>
      <c r="AI46" s="195"/>
      <c r="AJ46" s="194"/>
      <c r="AK46" s="194"/>
      <c r="AL46" s="195"/>
      <c r="AM46" s="195">
        <v>1000000</v>
      </c>
      <c r="AN46" s="195"/>
      <c r="AO46" s="195">
        <v>538400</v>
      </c>
      <c r="AP46" s="396"/>
    </row>
    <row r="47" spans="1:42" ht="24.75" customHeight="1">
      <c r="A47" s="171"/>
      <c r="B47" s="165" t="s">
        <v>170</v>
      </c>
      <c r="C47" s="16"/>
      <c r="D47" s="16"/>
      <c r="E47" s="25"/>
      <c r="F47" s="116">
        <f>E47/1000</f>
        <v>0</v>
      </c>
      <c r="G47" s="116">
        <f>F47-C47</f>
        <v>0</v>
      </c>
      <c r="H47" s="114"/>
      <c r="I47" s="114"/>
      <c r="J47" s="114"/>
      <c r="K47" s="131"/>
      <c r="L47" s="195">
        <f>AD47+AE47</f>
        <v>17498.88</v>
      </c>
      <c r="M47" s="195">
        <f>L47-K47</f>
        <v>17498.88</v>
      </c>
      <c r="N47" s="195">
        <v>0</v>
      </c>
      <c r="O47" s="195"/>
      <c r="P47" s="195"/>
      <c r="Q47" s="25">
        <f t="shared" si="30"/>
        <v>17498.88</v>
      </c>
      <c r="R47" s="195">
        <v>0</v>
      </c>
      <c r="S47" s="25">
        <f t="shared" si="31"/>
        <v>18064</v>
      </c>
      <c r="T47" s="25">
        <f t="shared" si="27"/>
        <v>19320</v>
      </c>
      <c r="U47" s="25">
        <f t="shared" si="32"/>
        <v>0</v>
      </c>
      <c r="V47" s="25">
        <f t="shared" si="28"/>
        <v>19436</v>
      </c>
      <c r="W47" s="25">
        <v>0</v>
      </c>
      <c r="X47" s="25">
        <f t="shared" si="4"/>
        <v>-19320</v>
      </c>
      <c r="Y47" s="25">
        <f t="shared" si="29"/>
        <v>19436</v>
      </c>
      <c r="Z47" s="25">
        <v>0</v>
      </c>
      <c r="AA47" s="25">
        <f t="shared" si="5"/>
        <v>-19436</v>
      </c>
      <c r="AB47" s="25">
        <v>0</v>
      </c>
      <c r="AC47" s="202">
        <v>907</v>
      </c>
      <c r="AD47" s="194"/>
      <c r="AE47" s="195">
        <f>18064-565.12</f>
        <v>17498.88</v>
      </c>
      <c r="AF47" s="194"/>
      <c r="AG47" s="194"/>
      <c r="AH47" s="195">
        <v>18064</v>
      </c>
      <c r="AI47" s="195">
        <v>19320</v>
      </c>
      <c r="AJ47" s="194"/>
      <c r="AK47" s="194"/>
      <c r="AL47" s="195"/>
      <c r="AM47" s="195">
        <v>19436</v>
      </c>
      <c r="AN47" s="195"/>
      <c r="AO47" s="195">
        <v>19436</v>
      </c>
      <c r="AP47" s="396"/>
    </row>
    <row r="48" spans="1:42" hidden="1">
      <c r="A48" s="171"/>
      <c r="B48" s="165" t="s">
        <v>163</v>
      </c>
      <c r="C48" s="16"/>
      <c r="D48" s="16"/>
      <c r="E48" s="25"/>
      <c r="F48" s="116">
        <f>E48/1000</f>
        <v>0</v>
      </c>
      <c r="G48" s="116">
        <f>F48-C48</f>
        <v>0</v>
      </c>
      <c r="H48" s="114"/>
      <c r="I48" s="114"/>
      <c r="J48" s="114"/>
      <c r="K48" s="131"/>
      <c r="L48" s="195">
        <f>AD48+AE48</f>
        <v>4000000</v>
      </c>
      <c r="M48" s="195">
        <f>L48-K48</f>
        <v>4000000</v>
      </c>
      <c r="N48" s="195">
        <v>0</v>
      </c>
      <c r="O48" s="195"/>
      <c r="P48" s="195"/>
      <c r="Q48" s="25">
        <f t="shared" si="30"/>
        <v>4000000</v>
      </c>
      <c r="R48" s="195">
        <v>0</v>
      </c>
      <c r="S48" s="25">
        <f t="shared" si="31"/>
        <v>0</v>
      </c>
      <c r="T48" s="25">
        <f t="shared" si="27"/>
        <v>0</v>
      </c>
      <c r="U48" s="25">
        <f t="shared" si="32"/>
        <v>0</v>
      </c>
      <c r="V48" s="25">
        <f t="shared" si="28"/>
        <v>0</v>
      </c>
      <c r="W48" s="25"/>
      <c r="X48" s="25">
        <f t="shared" si="4"/>
        <v>0</v>
      </c>
      <c r="Y48" s="25">
        <f t="shared" si="29"/>
        <v>0</v>
      </c>
      <c r="Z48" s="25"/>
      <c r="AA48" s="25">
        <f t="shared" si="5"/>
        <v>0</v>
      </c>
      <c r="AB48" s="25"/>
      <c r="AC48" s="202">
        <v>905</v>
      </c>
      <c r="AD48" s="194"/>
      <c r="AE48" s="195">
        <v>4000000</v>
      </c>
      <c r="AF48" s="194"/>
      <c r="AG48" s="194"/>
      <c r="AH48" s="195"/>
      <c r="AI48" s="195"/>
      <c r="AJ48" s="194"/>
      <c r="AK48" s="194"/>
      <c r="AL48" s="195"/>
      <c r="AM48" s="195"/>
      <c r="AN48" s="195"/>
      <c r="AO48" s="195"/>
      <c r="AP48" s="396"/>
    </row>
    <row r="49" spans="1:42" ht="29.25" customHeight="1">
      <c r="A49" s="171"/>
      <c r="B49" s="165" t="s">
        <v>195</v>
      </c>
      <c r="C49" s="16"/>
      <c r="D49" s="16"/>
      <c r="E49" s="25"/>
      <c r="F49" s="116"/>
      <c r="G49" s="116"/>
      <c r="H49" s="114"/>
      <c r="I49" s="114"/>
      <c r="J49" s="114"/>
      <c r="K49" s="131"/>
      <c r="L49" s="195"/>
      <c r="M49" s="195"/>
      <c r="N49" s="195"/>
      <c r="O49" s="195"/>
      <c r="P49" s="195"/>
      <c r="Q49" s="25"/>
      <c r="R49" s="195"/>
      <c r="S49" s="25"/>
      <c r="T49" s="25">
        <f t="shared" ref="T49:T51" si="33">AG49+AI49</f>
        <v>137000</v>
      </c>
      <c r="U49" s="25"/>
      <c r="V49" s="25">
        <f t="shared" ref="V49:W51" si="34">AK49+AM49</f>
        <v>0</v>
      </c>
      <c r="W49" s="25">
        <v>0</v>
      </c>
      <c r="X49" s="25">
        <f t="shared" si="4"/>
        <v>-137000</v>
      </c>
      <c r="Y49" s="25">
        <f t="shared" si="29"/>
        <v>2000000</v>
      </c>
      <c r="Z49" s="25">
        <v>0</v>
      </c>
      <c r="AA49" s="25">
        <f t="shared" si="5"/>
        <v>-2000000</v>
      </c>
      <c r="AB49" s="25">
        <v>0</v>
      </c>
      <c r="AC49" s="202">
        <v>907</v>
      </c>
      <c r="AD49" s="194"/>
      <c r="AE49" s="195"/>
      <c r="AF49" s="194"/>
      <c r="AG49" s="194"/>
      <c r="AH49" s="195"/>
      <c r="AI49" s="195">
        <v>137000</v>
      </c>
      <c r="AJ49" s="194"/>
      <c r="AK49" s="194"/>
      <c r="AL49" s="195"/>
      <c r="AM49" s="195"/>
      <c r="AN49" s="195"/>
      <c r="AO49" s="195">
        <v>2000000</v>
      </c>
      <c r="AP49" s="396"/>
    </row>
    <row r="50" spans="1:42" ht="24" hidden="1">
      <c r="A50" s="171"/>
      <c r="B50" s="165" t="s">
        <v>193</v>
      </c>
      <c r="C50" s="16"/>
      <c r="D50" s="16"/>
      <c r="E50" s="25"/>
      <c r="F50" s="116">
        <f>E50/1000</f>
        <v>0</v>
      </c>
      <c r="G50" s="116">
        <f>F50-C50</f>
        <v>0</v>
      </c>
      <c r="H50" s="114"/>
      <c r="I50" s="114"/>
      <c r="J50" s="114"/>
      <c r="K50" s="131"/>
      <c r="L50" s="195">
        <f>AD50+AE50</f>
        <v>0</v>
      </c>
      <c r="M50" s="195">
        <f>L50-K50</f>
        <v>0</v>
      </c>
      <c r="N50" s="195">
        <v>0</v>
      </c>
      <c r="O50" s="195"/>
      <c r="P50" s="195"/>
      <c r="Q50" s="25">
        <f>AD50+AE50</f>
        <v>0</v>
      </c>
      <c r="R50" s="195">
        <v>0</v>
      </c>
      <c r="S50" s="25">
        <f>AF50+AH50</f>
        <v>0</v>
      </c>
      <c r="T50" s="25">
        <f t="shared" si="33"/>
        <v>0</v>
      </c>
      <c r="U50" s="25">
        <f>AJ50+AL50</f>
        <v>0</v>
      </c>
      <c r="V50" s="25">
        <f t="shared" si="34"/>
        <v>0</v>
      </c>
      <c r="W50" s="25">
        <v>0</v>
      </c>
      <c r="X50" s="25">
        <f t="shared" si="4"/>
        <v>0</v>
      </c>
      <c r="Y50" s="25">
        <f t="shared" si="29"/>
        <v>32000000</v>
      </c>
      <c r="Z50" s="25">
        <v>0</v>
      </c>
      <c r="AA50" s="25">
        <f t="shared" si="5"/>
        <v>-32000000</v>
      </c>
      <c r="AB50" s="25">
        <v>0</v>
      </c>
      <c r="AC50" s="202">
        <v>905</v>
      </c>
      <c r="AD50" s="194"/>
      <c r="AE50" s="195"/>
      <c r="AF50" s="194"/>
      <c r="AG50" s="194"/>
      <c r="AH50" s="195"/>
      <c r="AI50" s="195"/>
      <c r="AJ50" s="194"/>
      <c r="AK50" s="194"/>
      <c r="AL50" s="195"/>
      <c r="AM50" s="195"/>
      <c r="AN50" s="195"/>
      <c r="AO50" s="195">
        <v>32000000</v>
      </c>
      <c r="AP50" s="396"/>
    </row>
    <row r="51" spans="1:42" ht="24" hidden="1">
      <c r="A51" s="171"/>
      <c r="B51" s="165" t="s">
        <v>194</v>
      </c>
      <c r="C51" s="16">
        <v>79</v>
      </c>
      <c r="D51" s="16"/>
      <c r="E51" s="25">
        <v>79000</v>
      </c>
      <c r="F51" s="116"/>
      <c r="G51" s="116"/>
      <c r="H51" s="114"/>
      <c r="I51" s="114"/>
      <c r="J51" s="114"/>
      <c r="K51" s="131"/>
      <c r="L51" s="195">
        <f>AD51+AE51</f>
        <v>0</v>
      </c>
      <c r="M51" s="195">
        <f>L51-K51</f>
        <v>0</v>
      </c>
      <c r="N51" s="195">
        <v>0</v>
      </c>
      <c r="O51" s="195"/>
      <c r="P51" s="195"/>
      <c r="Q51" s="25">
        <f>AD51+AE51</f>
        <v>0</v>
      </c>
      <c r="R51" s="195">
        <v>0</v>
      </c>
      <c r="S51" s="25">
        <f>AF51+AH51</f>
        <v>0</v>
      </c>
      <c r="T51" s="25">
        <f t="shared" si="33"/>
        <v>0</v>
      </c>
      <c r="U51" s="25">
        <f>AJ51+AL51</f>
        <v>0</v>
      </c>
      <c r="V51" s="25">
        <f t="shared" si="34"/>
        <v>0</v>
      </c>
      <c r="W51" s="25">
        <f t="shared" si="34"/>
        <v>0</v>
      </c>
      <c r="X51" s="25">
        <f t="shared" si="4"/>
        <v>0</v>
      </c>
      <c r="Y51" s="25">
        <f t="shared" ref="Y51" si="35">AM51+AO51</f>
        <v>8000000</v>
      </c>
      <c r="Z51" s="25">
        <v>0</v>
      </c>
      <c r="AA51" s="25">
        <f t="shared" si="5"/>
        <v>-8000000</v>
      </c>
      <c r="AB51" s="25">
        <v>0</v>
      </c>
      <c r="AC51" s="202">
        <v>907</v>
      </c>
      <c r="AD51" s="194"/>
      <c r="AE51" s="195"/>
      <c r="AF51" s="194"/>
      <c r="AG51" s="194"/>
      <c r="AH51" s="195"/>
      <c r="AI51" s="195"/>
      <c r="AJ51" s="194"/>
      <c r="AK51" s="194"/>
      <c r="AL51" s="195"/>
      <c r="AM51" s="195"/>
      <c r="AN51" s="195"/>
      <c r="AO51" s="195">
        <v>8000000</v>
      </c>
      <c r="AP51" s="396"/>
    </row>
    <row r="52" spans="1:42" ht="16.899999999999999" customHeight="1">
      <c r="A52" s="216" t="s">
        <v>43</v>
      </c>
      <c r="B52" s="217" t="s">
        <v>3</v>
      </c>
      <c r="C52" s="221">
        <f>C53+C65+C66+C67+C69</f>
        <v>726424</v>
      </c>
      <c r="D52" s="221">
        <f>D53+D65+D66+D67+D69</f>
        <v>0</v>
      </c>
      <c r="E52" s="221">
        <f>E53+E65+E66+E67+E69</f>
        <v>726423994</v>
      </c>
      <c r="F52" s="221">
        <f>F53+F65+F66+F67+F69</f>
        <v>726423.99399999995</v>
      </c>
      <c r="G52" s="221">
        <f>G53+G65+G66+G67+G69</f>
        <v>-6.0000000003128662E-3</v>
      </c>
      <c r="H52" s="221">
        <f t="shared" ref="H52:N52" si="36">H53+H65+H66+H67+H69+H70</f>
        <v>608092</v>
      </c>
      <c r="I52" s="221">
        <f t="shared" si="36"/>
        <v>774941</v>
      </c>
      <c r="J52" s="221">
        <f t="shared" si="36"/>
        <v>696541</v>
      </c>
      <c r="K52" s="222">
        <f t="shared" si="36"/>
        <v>545714</v>
      </c>
      <c r="L52" s="204">
        <f t="shared" si="36"/>
        <v>969493522</v>
      </c>
      <c r="M52" s="204">
        <f t="shared" si="36"/>
        <v>968947808</v>
      </c>
      <c r="N52" s="204">
        <f t="shared" si="36"/>
        <v>417933</v>
      </c>
      <c r="O52" s="204"/>
      <c r="P52" s="204"/>
      <c r="Q52" s="24">
        <f t="shared" ref="Q52:AB52" si="37">Q53+Q65+Q66+Q67+Q68+Q69+Q70</f>
        <v>971011622</v>
      </c>
      <c r="R52" s="24">
        <f t="shared" si="37"/>
        <v>891169400</v>
      </c>
      <c r="S52" s="24">
        <f t="shared" si="37"/>
        <v>964498001</v>
      </c>
      <c r="T52" s="24">
        <f t="shared" si="37"/>
        <v>998967969</v>
      </c>
      <c r="U52" s="24">
        <f t="shared" si="37"/>
        <v>1119375814</v>
      </c>
      <c r="V52" s="24">
        <f t="shared" si="37"/>
        <v>997120000</v>
      </c>
      <c r="W52" s="24">
        <f t="shared" si="37"/>
        <v>1046379200</v>
      </c>
      <c r="X52" s="25">
        <f t="shared" ref="X52:X71" si="38">W52-V52</f>
        <v>49259200</v>
      </c>
      <c r="Y52" s="24">
        <f t="shared" si="37"/>
        <v>1012203500</v>
      </c>
      <c r="Z52" s="24">
        <f t="shared" si="37"/>
        <v>1041546500</v>
      </c>
      <c r="AA52" s="25">
        <f t="shared" si="5"/>
        <v>29343000</v>
      </c>
      <c r="AB52" s="24">
        <f t="shared" si="37"/>
        <v>1043156500</v>
      </c>
      <c r="AC52" s="24"/>
      <c r="AD52" s="24">
        <f t="shared" ref="AD52:AO52" si="39">AD53+AD65+AD66+AD67+AD68+AD69+AD70</f>
        <v>3714622</v>
      </c>
      <c r="AE52" s="24">
        <f t="shared" si="39"/>
        <v>967297000</v>
      </c>
      <c r="AF52" s="24">
        <f t="shared" si="39"/>
        <v>14210001</v>
      </c>
      <c r="AG52" s="24">
        <f t="shared" si="39"/>
        <v>4515100</v>
      </c>
      <c r="AH52" s="24">
        <f t="shared" si="39"/>
        <v>950288000</v>
      </c>
      <c r="AI52" s="24">
        <f t="shared" si="39"/>
        <v>994452869</v>
      </c>
      <c r="AJ52" s="24">
        <f t="shared" si="39"/>
        <v>14886814</v>
      </c>
      <c r="AK52" s="24">
        <f t="shared" si="39"/>
        <v>5833000</v>
      </c>
      <c r="AL52" s="24">
        <f t="shared" si="39"/>
        <v>1104489000</v>
      </c>
      <c r="AM52" s="24">
        <f t="shared" si="39"/>
        <v>991287000</v>
      </c>
      <c r="AN52" s="24">
        <f t="shared" si="39"/>
        <v>5713500</v>
      </c>
      <c r="AO52" s="24">
        <f t="shared" si="39"/>
        <v>1006490000</v>
      </c>
      <c r="AP52" s="396"/>
    </row>
    <row r="53" spans="1:42" ht="24.6" hidden="1" customHeight="1">
      <c r="A53" s="216" t="s">
        <v>44</v>
      </c>
      <c r="B53" s="217" t="s">
        <v>4</v>
      </c>
      <c r="C53" s="221">
        <f>SUM(C54:C64)</f>
        <v>691386</v>
      </c>
      <c r="D53" s="221">
        <f>SUM(D54:D64)</f>
        <v>0</v>
      </c>
      <c r="E53" s="204">
        <f>SUM(E54:E64)</f>
        <v>691386000</v>
      </c>
      <c r="F53" s="223">
        <f t="shared" ref="F53:F58" si="40">E53/1000</f>
        <v>691386</v>
      </c>
      <c r="G53" s="223">
        <f t="shared" ref="G53:G58" si="41">F53-C53</f>
        <v>0</v>
      </c>
      <c r="H53" s="221">
        <f t="shared" ref="H53:N53" si="42">SUM(H54:H64)</f>
        <v>576319</v>
      </c>
      <c r="I53" s="221">
        <f t="shared" si="42"/>
        <v>739626</v>
      </c>
      <c r="J53" s="221">
        <f t="shared" si="42"/>
        <v>662922</v>
      </c>
      <c r="K53" s="222">
        <f t="shared" si="42"/>
        <v>510529</v>
      </c>
      <c r="L53" s="204">
        <f t="shared" si="42"/>
        <v>917883000</v>
      </c>
      <c r="M53" s="204">
        <f t="shared" si="42"/>
        <v>917372471</v>
      </c>
      <c r="N53" s="204">
        <f t="shared" si="42"/>
        <v>383394</v>
      </c>
      <c r="O53" s="204"/>
      <c r="P53" s="204"/>
      <c r="Q53" s="24">
        <f t="shared" ref="Q53:AB53" si="43">SUM(Q54:Q64)</f>
        <v>919397000</v>
      </c>
      <c r="R53" s="24">
        <f t="shared" si="43"/>
        <v>800982000</v>
      </c>
      <c r="S53" s="24">
        <f t="shared" si="43"/>
        <v>867867000</v>
      </c>
      <c r="T53" s="24">
        <f t="shared" si="43"/>
        <v>950035000</v>
      </c>
      <c r="U53" s="24">
        <f t="shared" si="43"/>
        <v>1021364000</v>
      </c>
      <c r="V53" s="24">
        <f t="shared" si="43"/>
        <v>936600000</v>
      </c>
      <c r="W53" s="24">
        <f t="shared" si="43"/>
        <v>989795000</v>
      </c>
      <c r="X53" s="25">
        <f t="shared" si="38"/>
        <v>53195000</v>
      </c>
      <c r="Y53" s="24">
        <f t="shared" si="43"/>
        <v>952542000</v>
      </c>
      <c r="Z53" s="24">
        <f t="shared" si="43"/>
        <v>984655000</v>
      </c>
      <c r="AA53" s="25">
        <f t="shared" si="5"/>
        <v>32113000</v>
      </c>
      <c r="AB53" s="24">
        <f t="shared" si="43"/>
        <v>986412000</v>
      </c>
      <c r="AC53" s="24"/>
      <c r="AD53" s="24">
        <f t="shared" ref="AD53:AO53" si="44">SUM(AD54:AD64)</f>
        <v>0</v>
      </c>
      <c r="AE53" s="24">
        <f t="shared" si="44"/>
        <v>919397000</v>
      </c>
      <c r="AF53" s="24">
        <f t="shared" si="44"/>
        <v>0</v>
      </c>
      <c r="AG53" s="24">
        <f t="shared" si="44"/>
        <v>0</v>
      </c>
      <c r="AH53" s="24">
        <f t="shared" si="44"/>
        <v>867867000</v>
      </c>
      <c r="AI53" s="24">
        <f t="shared" si="44"/>
        <v>950035000</v>
      </c>
      <c r="AJ53" s="24">
        <f t="shared" si="44"/>
        <v>0</v>
      </c>
      <c r="AK53" s="24">
        <f t="shared" si="44"/>
        <v>0</v>
      </c>
      <c r="AL53" s="24">
        <f t="shared" si="44"/>
        <v>1021364000</v>
      </c>
      <c r="AM53" s="24">
        <f t="shared" si="44"/>
        <v>936600000</v>
      </c>
      <c r="AN53" s="24">
        <f t="shared" si="44"/>
        <v>0</v>
      </c>
      <c r="AO53" s="24">
        <f t="shared" si="44"/>
        <v>952542000</v>
      </c>
      <c r="AP53" s="396"/>
    </row>
    <row r="54" spans="1:42" ht="60.75" hidden="1" customHeight="1">
      <c r="A54" s="171"/>
      <c r="B54" s="165" t="s">
        <v>5</v>
      </c>
      <c r="C54" s="122">
        <v>386036</v>
      </c>
      <c r="D54" s="123"/>
      <c r="E54" s="124">
        <v>386036000</v>
      </c>
      <c r="F54" s="116">
        <f t="shared" si="40"/>
        <v>386036</v>
      </c>
      <c r="G54" s="116">
        <f t="shared" si="41"/>
        <v>0</v>
      </c>
      <c r="H54" s="114">
        <v>334797</v>
      </c>
      <c r="I54" s="114">
        <v>430728</v>
      </c>
      <c r="J54" s="114">
        <v>385292</v>
      </c>
      <c r="K54" s="131">
        <v>300084</v>
      </c>
      <c r="L54" s="195">
        <f>AD54+AE54</f>
        <v>536533000</v>
      </c>
      <c r="M54" s="195">
        <f>L54-K54</f>
        <v>536232916</v>
      </c>
      <c r="N54" s="195">
        <v>224097</v>
      </c>
      <c r="O54" s="195"/>
      <c r="P54" s="195"/>
      <c r="Q54" s="25">
        <f t="shared" ref="Q54:Q70" si="45">AD54+AE54</f>
        <v>536533000</v>
      </c>
      <c r="R54" s="195">
        <v>449375000</v>
      </c>
      <c r="S54" s="25">
        <f t="shared" ref="S54:T69" si="46">AF54+AH54</f>
        <v>490287000</v>
      </c>
      <c r="T54" s="25">
        <f t="shared" si="46"/>
        <v>554322000</v>
      </c>
      <c r="U54" s="25">
        <f t="shared" ref="U54:V69" si="47">AJ54+AL54</f>
        <v>591491000</v>
      </c>
      <c r="V54" s="25">
        <f t="shared" si="47"/>
        <v>552742000</v>
      </c>
      <c r="W54" s="25">
        <v>607976000</v>
      </c>
      <c r="X54" s="25">
        <f t="shared" si="38"/>
        <v>55234000</v>
      </c>
      <c r="Y54" s="25">
        <f t="shared" ref="Y54:Y69" si="48">AN54+AO54</f>
        <v>558436000</v>
      </c>
      <c r="Z54" s="25">
        <v>607976000</v>
      </c>
      <c r="AA54" s="25">
        <f t="shared" si="5"/>
        <v>49540000</v>
      </c>
      <c r="AB54" s="25">
        <v>607976000</v>
      </c>
      <c r="AC54" s="202">
        <v>906</v>
      </c>
      <c r="AD54" s="194"/>
      <c r="AE54" s="195">
        <v>536533000</v>
      </c>
      <c r="AF54" s="194"/>
      <c r="AG54" s="194"/>
      <c r="AH54" s="195">
        <v>490287000</v>
      </c>
      <c r="AI54" s="195">
        <v>554322000</v>
      </c>
      <c r="AJ54" s="194"/>
      <c r="AK54" s="194"/>
      <c r="AL54" s="195">
        <v>591491000</v>
      </c>
      <c r="AM54" s="195">
        <v>552742000</v>
      </c>
      <c r="AN54" s="195"/>
      <c r="AO54" s="195">
        <v>558436000</v>
      </c>
      <c r="AP54" s="396"/>
    </row>
    <row r="55" spans="1:42" ht="39.75" hidden="1" customHeight="1">
      <c r="A55" s="171"/>
      <c r="B55" s="165" t="s">
        <v>6</v>
      </c>
      <c r="C55" s="122">
        <v>295813</v>
      </c>
      <c r="D55" s="123"/>
      <c r="E55" s="124">
        <v>295813000</v>
      </c>
      <c r="F55" s="116">
        <f t="shared" si="40"/>
        <v>295813</v>
      </c>
      <c r="G55" s="116">
        <f t="shared" si="41"/>
        <v>0</v>
      </c>
      <c r="H55" s="114">
        <v>231806</v>
      </c>
      <c r="I55" s="114">
        <v>299172</v>
      </c>
      <c r="J55" s="114">
        <v>267660</v>
      </c>
      <c r="K55" s="131">
        <v>199795</v>
      </c>
      <c r="L55" s="195">
        <f>AD55+AE55</f>
        <v>362453000</v>
      </c>
      <c r="M55" s="195">
        <f>L55-K55</f>
        <v>362253205</v>
      </c>
      <c r="N55" s="195">
        <v>148579</v>
      </c>
      <c r="O55" s="195"/>
      <c r="P55" s="195"/>
      <c r="Q55" s="25">
        <f t="shared" si="45"/>
        <v>362453000</v>
      </c>
      <c r="R55" s="195">
        <v>339524000</v>
      </c>
      <c r="S55" s="25">
        <f t="shared" si="46"/>
        <v>357193000</v>
      </c>
      <c r="T55" s="25">
        <f t="shared" si="46"/>
        <v>370796000</v>
      </c>
      <c r="U55" s="25">
        <f t="shared" si="47"/>
        <v>409103000</v>
      </c>
      <c r="V55" s="25">
        <f t="shared" si="47"/>
        <v>353326000</v>
      </c>
      <c r="W55" s="25">
        <v>358716000</v>
      </c>
      <c r="X55" s="25">
        <f t="shared" si="38"/>
        <v>5390000</v>
      </c>
      <c r="Y55" s="25">
        <f t="shared" si="48"/>
        <v>362897000</v>
      </c>
      <c r="Z55" s="25">
        <v>353289000</v>
      </c>
      <c r="AA55" s="25">
        <f t="shared" si="5"/>
        <v>-9608000</v>
      </c>
      <c r="AB55" s="25">
        <v>354747000</v>
      </c>
      <c r="AC55" s="202">
        <v>906</v>
      </c>
      <c r="AD55" s="194"/>
      <c r="AE55" s="195">
        <v>362453000</v>
      </c>
      <c r="AF55" s="194"/>
      <c r="AG55" s="194"/>
      <c r="AH55" s="195">
        <v>357193000</v>
      </c>
      <c r="AI55" s="195">
        <v>370796000</v>
      </c>
      <c r="AJ55" s="194"/>
      <c r="AK55" s="194"/>
      <c r="AL55" s="195">
        <v>409103000</v>
      </c>
      <c r="AM55" s="195">
        <v>353326000</v>
      </c>
      <c r="AN55" s="195"/>
      <c r="AO55" s="195">
        <v>362897000</v>
      </c>
      <c r="AP55" s="396"/>
    </row>
    <row r="56" spans="1:42" ht="26.25" hidden="1" customHeight="1">
      <c r="A56" s="171"/>
      <c r="B56" s="165" t="s">
        <v>7</v>
      </c>
      <c r="C56" s="122">
        <v>6199</v>
      </c>
      <c r="D56" s="123"/>
      <c r="E56" s="124">
        <v>6199000</v>
      </c>
      <c r="F56" s="116">
        <f t="shared" si="40"/>
        <v>6199</v>
      </c>
      <c r="G56" s="116">
        <f t="shared" si="41"/>
        <v>0</v>
      </c>
      <c r="H56" s="114">
        <v>6291</v>
      </c>
      <c r="I56" s="114">
        <v>6291</v>
      </c>
      <c r="J56" s="114">
        <v>6463</v>
      </c>
      <c r="K56" s="131">
        <v>5889</v>
      </c>
      <c r="L56" s="195">
        <f>AD56+AE56</f>
        <v>7478000</v>
      </c>
      <c r="M56" s="195">
        <f>L56-K56</f>
        <v>7472111</v>
      </c>
      <c r="N56" s="195">
        <v>5889</v>
      </c>
      <c r="O56" s="195"/>
      <c r="P56" s="195"/>
      <c r="Q56" s="25">
        <f t="shared" si="45"/>
        <v>7478000</v>
      </c>
      <c r="R56" s="195">
        <v>6515000</v>
      </c>
      <c r="S56" s="25">
        <f t="shared" si="46"/>
        <v>7478000</v>
      </c>
      <c r="T56" s="25">
        <f t="shared" si="46"/>
        <v>8714000</v>
      </c>
      <c r="U56" s="25">
        <f t="shared" si="47"/>
        <v>7478000</v>
      </c>
      <c r="V56" s="25">
        <f t="shared" si="47"/>
        <v>8714000</v>
      </c>
      <c r="W56" s="25">
        <v>9759000</v>
      </c>
      <c r="X56" s="25">
        <f t="shared" si="38"/>
        <v>1045000</v>
      </c>
      <c r="Y56" s="25">
        <f t="shared" si="48"/>
        <v>8714000</v>
      </c>
      <c r="Z56" s="25">
        <v>9759000</v>
      </c>
      <c r="AA56" s="25">
        <f t="shared" si="5"/>
        <v>1045000</v>
      </c>
      <c r="AB56" s="25">
        <v>9759000</v>
      </c>
      <c r="AC56" s="202">
        <v>906</v>
      </c>
      <c r="AD56" s="194"/>
      <c r="AE56" s="195">
        <v>7478000</v>
      </c>
      <c r="AF56" s="194"/>
      <c r="AG56" s="194"/>
      <c r="AH56" s="195">
        <v>7478000</v>
      </c>
      <c r="AI56" s="195">
        <v>8714000</v>
      </c>
      <c r="AJ56" s="194"/>
      <c r="AK56" s="194"/>
      <c r="AL56" s="195">
        <v>7478000</v>
      </c>
      <c r="AM56" s="195">
        <v>8714000</v>
      </c>
      <c r="AN56" s="195"/>
      <c r="AO56" s="195">
        <v>8714000</v>
      </c>
      <c r="AP56" s="396"/>
    </row>
    <row r="57" spans="1:42" ht="35.25" hidden="1" customHeight="1">
      <c r="A57" s="171"/>
      <c r="B57" s="165" t="s">
        <v>8</v>
      </c>
      <c r="C57" s="122">
        <v>2</v>
      </c>
      <c r="D57" s="123"/>
      <c r="E57" s="124">
        <v>2000</v>
      </c>
      <c r="F57" s="116">
        <f t="shared" si="40"/>
        <v>2</v>
      </c>
      <c r="G57" s="116">
        <f t="shared" si="41"/>
        <v>0</v>
      </c>
      <c r="H57" s="114">
        <v>2</v>
      </c>
      <c r="I57" s="114">
        <v>2</v>
      </c>
      <c r="J57" s="114">
        <v>2</v>
      </c>
      <c r="K57" s="131">
        <v>2</v>
      </c>
      <c r="L57" s="195">
        <f>AD57+AE57</f>
        <v>2000</v>
      </c>
      <c r="M57" s="195">
        <f>L57-K57</f>
        <v>1998</v>
      </c>
      <c r="N57" s="195">
        <v>2</v>
      </c>
      <c r="O57" s="195"/>
      <c r="P57" s="195"/>
      <c r="Q57" s="25">
        <f t="shared" si="45"/>
        <v>2000</v>
      </c>
      <c r="R57" s="195">
        <v>2000</v>
      </c>
      <c r="S57" s="25">
        <f t="shared" si="46"/>
        <v>2000</v>
      </c>
      <c r="T57" s="25">
        <f t="shared" si="46"/>
        <v>2000</v>
      </c>
      <c r="U57" s="25">
        <f t="shared" si="47"/>
        <v>2000</v>
      </c>
      <c r="V57" s="25">
        <f t="shared" si="47"/>
        <v>2000</v>
      </c>
      <c r="W57" s="25">
        <v>2000</v>
      </c>
      <c r="X57" s="25">
        <f t="shared" si="38"/>
        <v>0</v>
      </c>
      <c r="Y57" s="25">
        <f t="shared" si="48"/>
        <v>2000</v>
      </c>
      <c r="Z57" s="25">
        <v>2000</v>
      </c>
      <c r="AA57" s="25">
        <f t="shared" si="5"/>
        <v>0</v>
      </c>
      <c r="AB57" s="25">
        <v>2000</v>
      </c>
      <c r="AC57" s="202">
        <v>902</v>
      </c>
      <c r="AD57" s="194"/>
      <c r="AE57" s="195">
        <v>2000</v>
      </c>
      <c r="AF57" s="194"/>
      <c r="AG57" s="194"/>
      <c r="AH57" s="195">
        <v>2000</v>
      </c>
      <c r="AI57" s="195">
        <v>2000</v>
      </c>
      <c r="AJ57" s="194"/>
      <c r="AK57" s="194"/>
      <c r="AL57" s="195">
        <v>2000</v>
      </c>
      <c r="AM57" s="195">
        <v>2000</v>
      </c>
      <c r="AN57" s="195"/>
      <c r="AO57" s="195">
        <v>2000</v>
      </c>
      <c r="AP57" s="396"/>
    </row>
    <row r="58" spans="1:42" ht="36.75" hidden="1" customHeight="1">
      <c r="A58" s="171"/>
      <c r="B58" s="165" t="s">
        <v>9</v>
      </c>
      <c r="C58" s="122">
        <v>558</v>
      </c>
      <c r="D58" s="123"/>
      <c r="E58" s="124">
        <v>558000</v>
      </c>
      <c r="F58" s="116">
        <f t="shared" si="40"/>
        <v>558</v>
      </c>
      <c r="G58" s="116">
        <f t="shared" si="41"/>
        <v>0</v>
      </c>
      <c r="H58" s="114">
        <v>558</v>
      </c>
      <c r="I58" s="114">
        <v>558</v>
      </c>
      <c r="J58" s="114">
        <v>579</v>
      </c>
      <c r="K58" s="131">
        <v>570</v>
      </c>
      <c r="L58" s="195">
        <f>AD58+AE58</f>
        <v>754000</v>
      </c>
      <c r="M58" s="195">
        <f>L58-K58</f>
        <v>753430</v>
      </c>
      <c r="N58" s="195">
        <v>570</v>
      </c>
      <c r="O58" s="195"/>
      <c r="P58" s="195"/>
      <c r="Q58" s="25">
        <f t="shared" si="45"/>
        <v>754000</v>
      </c>
      <c r="R58" s="195">
        <v>641000</v>
      </c>
      <c r="S58" s="25">
        <f t="shared" si="46"/>
        <v>754000</v>
      </c>
      <c r="T58" s="25">
        <f t="shared" si="46"/>
        <v>754000</v>
      </c>
      <c r="U58" s="25">
        <f t="shared" si="47"/>
        <v>754000</v>
      </c>
      <c r="V58" s="25">
        <f t="shared" si="47"/>
        <v>754000</v>
      </c>
      <c r="W58" s="25">
        <v>754000</v>
      </c>
      <c r="X58" s="25">
        <f t="shared" si="38"/>
        <v>0</v>
      </c>
      <c r="Y58" s="25">
        <f t="shared" si="48"/>
        <v>754000</v>
      </c>
      <c r="Z58" s="25">
        <v>754000</v>
      </c>
      <c r="AA58" s="25">
        <f t="shared" si="5"/>
        <v>0</v>
      </c>
      <c r="AB58" s="25">
        <v>754000</v>
      </c>
      <c r="AC58" s="202">
        <v>902</v>
      </c>
      <c r="AD58" s="194"/>
      <c r="AE58" s="195">
        <v>754000</v>
      </c>
      <c r="AF58" s="194"/>
      <c r="AG58" s="194"/>
      <c r="AH58" s="195">
        <v>754000</v>
      </c>
      <c r="AI58" s="195">
        <v>754000</v>
      </c>
      <c r="AJ58" s="195"/>
      <c r="AK58" s="195"/>
      <c r="AL58" s="195">
        <v>754000</v>
      </c>
      <c r="AM58" s="195">
        <v>754000</v>
      </c>
      <c r="AN58" s="195"/>
      <c r="AO58" s="195">
        <v>754000</v>
      </c>
      <c r="AP58" s="396"/>
    </row>
    <row r="59" spans="1:42" ht="48" hidden="1" customHeight="1">
      <c r="A59" s="171"/>
      <c r="B59" s="165" t="s">
        <v>171</v>
      </c>
      <c r="C59" s="122"/>
      <c r="D59" s="123"/>
      <c r="E59" s="124"/>
      <c r="F59" s="116"/>
      <c r="G59" s="116"/>
      <c r="H59" s="114"/>
      <c r="I59" s="114"/>
      <c r="J59" s="114"/>
      <c r="K59" s="131"/>
      <c r="L59" s="195"/>
      <c r="M59" s="195"/>
      <c r="N59" s="195"/>
      <c r="O59" s="195"/>
      <c r="P59" s="195"/>
      <c r="Q59" s="25">
        <f t="shared" si="45"/>
        <v>37000</v>
      </c>
      <c r="R59" s="195"/>
      <c r="S59" s="25">
        <f t="shared" si="46"/>
        <v>37000</v>
      </c>
      <c r="T59" s="25">
        <f t="shared" si="46"/>
        <v>37000</v>
      </c>
      <c r="U59" s="25">
        <f t="shared" si="47"/>
        <v>37000</v>
      </c>
      <c r="V59" s="25">
        <f t="shared" si="47"/>
        <v>37000</v>
      </c>
      <c r="W59" s="25">
        <v>37000</v>
      </c>
      <c r="X59" s="25">
        <f t="shared" si="38"/>
        <v>0</v>
      </c>
      <c r="Y59" s="25">
        <f t="shared" si="48"/>
        <v>37000</v>
      </c>
      <c r="Z59" s="25">
        <v>37000</v>
      </c>
      <c r="AA59" s="25">
        <f t="shared" si="5"/>
        <v>0</v>
      </c>
      <c r="AB59" s="25">
        <v>37000</v>
      </c>
      <c r="AC59" s="202">
        <v>905</v>
      </c>
      <c r="AD59" s="194"/>
      <c r="AE59" s="195">
        <v>37000</v>
      </c>
      <c r="AF59" s="194"/>
      <c r="AG59" s="194"/>
      <c r="AH59" s="195">
        <v>37000</v>
      </c>
      <c r="AI59" s="195">
        <v>37000</v>
      </c>
      <c r="AJ59" s="195"/>
      <c r="AK59" s="195"/>
      <c r="AL59" s="195">
        <v>37000</v>
      </c>
      <c r="AM59" s="195">
        <v>37000</v>
      </c>
      <c r="AN59" s="195"/>
      <c r="AO59" s="195">
        <v>37000</v>
      </c>
      <c r="AP59" s="396"/>
    </row>
    <row r="60" spans="1:42" ht="27.6" hidden="1" customHeight="1">
      <c r="A60" s="171"/>
      <c r="B60" s="30" t="s">
        <v>142</v>
      </c>
      <c r="C60" s="122"/>
      <c r="D60" s="123"/>
      <c r="E60" s="124"/>
      <c r="F60" s="116"/>
      <c r="G60" s="116"/>
      <c r="H60" s="114"/>
      <c r="I60" s="114"/>
      <c r="J60" s="114"/>
      <c r="K60" s="131"/>
      <c r="L60" s="195"/>
      <c r="M60" s="195"/>
      <c r="N60" s="195"/>
      <c r="O60" s="195"/>
      <c r="P60" s="195"/>
      <c r="Q60" s="25">
        <f t="shared" si="45"/>
        <v>1477000</v>
      </c>
      <c r="R60" s="195"/>
      <c r="S60" s="25">
        <f t="shared" si="46"/>
        <v>1495000</v>
      </c>
      <c r="T60" s="25">
        <f t="shared" si="46"/>
        <v>1495000</v>
      </c>
      <c r="U60" s="25">
        <f t="shared" si="47"/>
        <v>1495000</v>
      </c>
      <c r="V60" s="25">
        <f t="shared" si="47"/>
        <v>1495000</v>
      </c>
      <c r="W60" s="25">
        <v>1495000</v>
      </c>
      <c r="X60" s="25">
        <f t="shared" si="38"/>
        <v>0</v>
      </c>
      <c r="Y60" s="25">
        <f t="shared" si="48"/>
        <v>1495000</v>
      </c>
      <c r="Z60" s="25">
        <v>1495000</v>
      </c>
      <c r="AA60" s="25">
        <f t="shared" si="5"/>
        <v>0</v>
      </c>
      <c r="AB60" s="25">
        <v>1495000</v>
      </c>
      <c r="AC60" s="202">
        <v>902</v>
      </c>
      <c r="AD60" s="194"/>
      <c r="AE60" s="195">
        <v>1477000</v>
      </c>
      <c r="AF60" s="194"/>
      <c r="AG60" s="194"/>
      <c r="AH60" s="195">
        <v>1495000</v>
      </c>
      <c r="AI60" s="195">
        <v>1495000</v>
      </c>
      <c r="AJ60" s="195"/>
      <c r="AK60" s="195"/>
      <c r="AL60" s="195">
        <v>1495000</v>
      </c>
      <c r="AM60" s="195">
        <v>1495000</v>
      </c>
      <c r="AN60" s="195"/>
      <c r="AO60" s="195">
        <v>1495000</v>
      </c>
      <c r="AP60" s="396"/>
    </row>
    <row r="61" spans="1:42" ht="24" hidden="1" customHeight="1">
      <c r="A61" s="171"/>
      <c r="B61" s="165" t="s">
        <v>10</v>
      </c>
      <c r="C61" s="122">
        <v>1032</v>
      </c>
      <c r="D61" s="123"/>
      <c r="E61" s="124">
        <v>1032000</v>
      </c>
      <c r="F61" s="116">
        <f t="shared" ref="F61:F67" si="49">E61/1000</f>
        <v>1032</v>
      </c>
      <c r="G61" s="116">
        <f t="shared" ref="G61:G67" si="50">F61-C61</f>
        <v>0</v>
      </c>
      <c r="H61" s="114">
        <v>1037</v>
      </c>
      <c r="I61" s="114">
        <v>1037</v>
      </c>
      <c r="J61" s="114">
        <v>1076</v>
      </c>
      <c r="K61" s="131">
        <v>1054</v>
      </c>
      <c r="L61" s="195">
        <f t="shared" ref="L61:L67" si="51">AD61+AE61</f>
        <v>0</v>
      </c>
      <c r="M61" s="195">
        <f t="shared" ref="M61:M67" si="52">L61-K61</f>
        <v>-1054</v>
      </c>
      <c r="N61" s="195">
        <v>1054</v>
      </c>
      <c r="O61" s="195"/>
      <c r="P61" s="195"/>
      <c r="Q61" s="25">
        <f t="shared" si="45"/>
        <v>0</v>
      </c>
      <c r="R61" s="195">
        <v>1186000</v>
      </c>
      <c r="S61" s="25">
        <f t="shared" si="46"/>
        <v>0</v>
      </c>
      <c r="T61" s="25">
        <f t="shared" si="46"/>
        <v>0</v>
      </c>
      <c r="U61" s="25">
        <f t="shared" si="47"/>
        <v>0</v>
      </c>
      <c r="V61" s="25">
        <f t="shared" si="47"/>
        <v>0</v>
      </c>
      <c r="W61" s="25"/>
      <c r="X61" s="25">
        <f t="shared" si="38"/>
        <v>0</v>
      </c>
      <c r="Y61" s="25">
        <f t="shared" si="48"/>
        <v>0</v>
      </c>
      <c r="Z61" s="25"/>
      <c r="AA61" s="25">
        <f t="shared" si="5"/>
        <v>0</v>
      </c>
      <c r="AB61" s="25"/>
      <c r="AC61" s="202">
        <v>902</v>
      </c>
      <c r="AD61" s="194"/>
      <c r="AE61" s="195"/>
      <c r="AF61" s="194"/>
      <c r="AG61" s="194"/>
      <c r="AH61" s="195"/>
      <c r="AI61" s="195"/>
      <c r="AJ61" s="194"/>
      <c r="AK61" s="194"/>
      <c r="AL61" s="195"/>
      <c r="AM61" s="195"/>
      <c r="AN61" s="195"/>
      <c r="AO61" s="195"/>
      <c r="AP61" s="396"/>
    </row>
    <row r="62" spans="1:42" ht="23.25" hidden="1" customHeight="1">
      <c r="A62" s="171"/>
      <c r="B62" s="165" t="s">
        <v>11</v>
      </c>
      <c r="C62" s="122">
        <v>542</v>
      </c>
      <c r="D62" s="123"/>
      <c r="E62" s="124">
        <v>542000</v>
      </c>
      <c r="F62" s="116">
        <f t="shared" si="49"/>
        <v>542</v>
      </c>
      <c r="G62" s="116">
        <f t="shared" si="50"/>
        <v>0</v>
      </c>
      <c r="H62" s="114">
        <v>542</v>
      </c>
      <c r="I62" s="114">
        <v>542</v>
      </c>
      <c r="J62" s="114">
        <v>564</v>
      </c>
      <c r="K62" s="131">
        <v>554</v>
      </c>
      <c r="L62" s="195">
        <f t="shared" si="51"/>
        <v>733000</v>
      </c>
      <c r="M62" s="195">
        <f t="shared" si="52"/>
        <v>732446</v>
      </c>
      <c r="N62" s="195">
        <v>554</v>
      </c>
      <c r="O62" s="195"/>
      <c r="P62" s="195"/>
      <c r="Q62" s="25">
        <f t="shared" si="45"/>
        <v>733000</v>
      </c>
      <c r="R62" s="195">
        <v>623000</v>
      </c>
      <c r="S62" s="25">
        <f t="shared" si="46"/>
        <v>733000</v>
      </c>
      <c r="T62" s="25">
        <f t="shared" si="46"/>
        <v>733000</v>
      </c>
      <c r="U62" s="25">
        <f t="shared" si="47"/>
        <v>733000</v>
      </c>
      <c r="V62" s="25">
        <f t="shared" si="47"/>
        <v>733000</v>
      </c>
      <c r="W62" s="25">
        <v>733000</v>
      </c>
      <c r="X62" s="25">
        <f t="shared" si="38"/>
        <v>0</v>
      </c>
      <c r="Y62" s="25">
        <f t="shared" si="48"/>
        <v>733000</v>
      </c>
      <c r="Z62" s="25">
        <v>733000</v>
      </c>
      <c r="AA62" s="25">
        <f t="shared" si="5"/>
        <v>0</v>
      </c>
      <c r="AB62" s="25">
        <v>733000</v>
      </c>
      <c r="AC62" s="202">
        <v>902</v>
      </c>
      <c r="AD62" s="194"/>
      <c r="AE62" s="195">
        <v>733000</v>
      </c>
      <c r="AF62" s="194"/>
      <c r="AG62" s="194"/>
      <c r="AH62" s="195">
        <v>733000</v>
      </c>
      <c r="AI62" s="195">
        <v>733000</v>
      </c>
      <c r="AJ62" s="194"/>
      <c r="AK62" s="194"/>
      <c r="AL62" s="195">
        <v>733000</v>
      </c>
      <c r="AM62" s="195">
        <v>733000</v>
      </c>
      <c r="AN62" s="195"/>
      <c r="AO62" s="195">
        <v>733000</v>
      </c>
      <c r="AP62" s="396"/>
    </row>
    <row r="63" spans="1:42" ht="37.5" hidden="1" customHeight="1">
      <c r="A63" s="171"/>
      <c r="B63" s="165" t="s">
        <v>12</v>
      </c>
      <c r="C63" s="122">
        <v>762</v>
      </c>
      <c r="D63" s="123"/>
      <c r="E63" s="124">
        <v>762000</v>
      </c>
      <c r="F63" s="116">
        <f t="shared" si="49"/>
        <v>762</v>
      </c>
      <c r="G63" s="116">
        <f t="shared" si="50"/>
        <v>0</v>
      </c>
      <c r="H63" s="114">
        <v>778</v>
      </c>
      <c r="I63" s="114">
        <v>778</v>
      </c>
      <c r="J63" s="114">
        <v>778</v>
      </c>
      <c r="K63" s="131">
        <v>795</v>
      </c>
      <c r="L63" s="195">
        <f t="shared" si="51"/>
        <v>1766000</v>
      </c>
      <c r="M63" s="195">
        <f t="shared" si="52"/>
        <v>1765205</v>
      </c>
      <c r="N63" s="195">
        <v>795</v>
      </c>
      <c r="O63" s="195"/>
      <c r="P63" s="195"/>
      <c r="Q63" s="25">
        <f t="shared" si="45"/>
        <v>1766000</v>
      </c>
      <c r="R63" s="195">
        <v>1160000</v>
      </c>
      <c r="S63" s="25">
        <f t="shared" si="46"/>
        <v>1373000</v>
      </c>
      <c r="T63" s="25">
        <f t="shared" si="46"/>
        <v>1824000</v>
      </c>
      <c r="U63" s="25">
        <f t="shared" si="47"/>
        <v>1373000</v>
      </c>
      <c r="V63" s="25">
        <f t="shared" si="47"/>
        <v>1824000</v>
      </c>
      <c r="W63" s="25">
        <v>2223000</v>
      </c>
      <c r="X63" s="25">
        <f t="shared" si="38"/>
        <v>399000</v>
      </c>
      <c r="Y63" s="25">
        <f t="shared" si="48"/>
        <v>1824000</v>
      </c>
      <c r="Z63" s="25">
        <v>2223000</v>
      </c>
      <c r="AA63" s="25">
        <f t="shared" si="5"/>
        <v>399000</v>
      </c>
      <c r="AB63" s="25">
        <v>2223000</v>
      </c>
      <c r="AC63" s="202">
        <v>905</v>
      </c>
      <c r="AD63" s="194"/>
      <c r="AE63" s="195">
        <f>1373000+393000</f>
        <v>1766000</v>
      </c>
      <c r="AF63" s="194"/>
      <c r="AG63" s="194"/>
      <c r="AH63" s="195">
        <v>1373000</v>
      </c>
      <c r="AI63" s="195">
        <v>1824000</v>
      </c>
      <c r="AJ63" s="194"/>
      <c r="AK63" s="194"/>
      <c r="AL63" s="195">
        <v>1373000</v>
      </c>
      <c r="AM63" s="195">
        <v>1824000</v>
      </c>
      <c r="AN63" s="195"/>
      <c r="AO63" s="195">
        <v>1824000</v>
      </c>
      <c r="AP63" s="396"/>
    </row>
    <row r="64" spans="1:42" ht="33" hidden="1" customHeight="1">
      <c r="A64" s="171"/>
      <c r="B64" s="165" t="s">
        <v>173</v>
      </c>
      <c r="C64" s="122">
        <v>442</v>
      </c>
      <c r="D64" s="123"/>
      <c r="E64" s="124">
        <v>442000</v>
      </c>
      <c r="F64" s="116">
        <f t="shared" si="49"/>
        <v>442</v>
      </c>
      <c r="G64" s="116">
        <f t="shared" si="50"/>
        <v>0</v>
      </c>
      <c r="H64" s="114">
        <v>508</v>
      </c>
      <c r="I64" s="114">
        <v>518</v>
      </c>
      <c r="J64" s="114">
        <v>508</v>
      </c>
      <c r="K64" s="131">
        <v>1786</v>
      </c>
      <c r="L64" s="195">
        <f t="shared" si="51"/>
        <v>8164000</v>
      </c>
      <c r="M64" s="195">
        <f t="shared" si="52"/>
        <v>8162214</v>
      </c>
      <c r="N64" s="195">
        <v>1854</v>
      </c>
      <c r="O64" s="195"/>
      <c r="P64" s="195"/>
      <c r="Q64" s="25">
        <f t="shared" si="45"/>
        <v>8164000</v>
      </c>
      <c r="R64" s="195">
        <v>1956000</v>
      </c>
      <c r="S64" s="25">
        <f t="shared" si="46"/>
        <v>8515000</v>
      </c>
      <c r="T64" s="25">
        <f t="shared" si="46"/>
        <v>11358000</v>
      </c>
      <c r="U64" s="25">
        <f t="shared" si="47"/>
        <v>8898000</v>
      </c>
      <c r="V64" s="25">
        <f t="shared" si="47"/>
        <v>16973000</v>
      </c>
      <c r="W64" s="25">
        <v>8100000</v>
      </c>
      <c r="X64" s="25">
        <f t="shared" si="38"/>
        <v>-8873000</v>
      </c>
      <c r="Y64" s="25">
        <f t="shared" si="48"/>
        <v>17650000</v>
      </c>
      <c r="Z64" s="25">
        <v>8387000</v>
      </c>
      <c r="AA64" s="25">
        <f t="shared" si="5"/>
        <v>-9263000</v>
      </c>
      <c r="AB64" s="25">
        <v>8686000</v>
      </c>
      <c r="AC64" s="202">
        <v>905</v>
      </c>
      <c r="AD64" s="194"/>
      <c r="AE64" s="195">
        <v>8164000</v>
      </c>
      <c r="AF64" s="194"/>
      <c r="AG64" s="194"/>
      <c r="AH64" s="195">
        <v>8515000</v>
      </c>
      <c r="AI64" s="195">
        <f>16358000-5000000</f>
        <v>11358000</v>
      </c>
      <c r="AJ64" s="194"/>
      <c r="AK64" s="194"/>
      <c r="AL64" s="195">
        <v>8898000</v>
      </c>
      <c r="AM64" s="195">
        <v>16973000</v>
      </c>
      <c r="AN64" s="195"/>
      <c r="AO64" s="195">
        <v>17650000</v>
      </c>
      <c r="AP64" s="396"/>
    </row>
    <row r="65" spans="1:43" ht="39" hidden="1" customHeight="1">
      <c r="A65" s="171" t="s">
        <v>45</v>
      </c>
      <c r="B65" s="165" t="s">
        <v>196</v>
      </c>
      <c r="C65" s="122">
        <v>25623</v>
      </c>
      <c r="D65" s="123"/>
      <c r="E65" s="124">
        <v>25623000</v>
      </c>
      <c r="F65" s="116">
        <f t="shared" si="49"/>
        <v>25623</v>
      </c>
      <c r="G65" s="116">
        <f t="shared" si="50"/>
        <v>0</v>
      </c>
      <c r="H65" s="114">
        <v>24886</v>
      </c>
      <c r="I65" s="114">
        <v>24886</v>
      </c>
      <c r="J65" s="114">
        <v>25882</v>
      </c>
      <c r="K65" s="131">
        <v>27714</v>
      </c>
      <c r="L65" s="195">
        <f t="shared" si="51"/>
        <v>31556000</v>
      </c>
      <c r="M65" s="195">
        <f t="shared" si="52"/>
        <v>31528286</v>
      </c>
      <c r="N65" s="195">
        <v>27714</v>
      </c>
      <c r="O65" s="195"/>
      <c r="P65" s="195"/>
      <c r="Q65" s="25">
        <f t="shared" si="45"/>
        <v>31556000</v>
      </c>
      <c r="R65" s="195">
        <v>28143000</v>
      </c>
      <c r="S65" s="25">
        <f t="shared" si="46"/>
        <v>31556000</v>
      </c>
      <c r="T65" s="25">
        <f t="shared" si="46"/>
        <v>25130000</v>
      </c>
      <c r="U65" s="25">
        <f t="shared" si="47"/>
        <v>31556000</v>
      </c>
      <c r="V65" s="25">
        <f t="shared" si="47"/>
        <v>32353000</v>
      </c>
      <c r="W65" s="25">
        <v>34589000</v>
      </c>
      <c r="X65" s="25">
        <f t="shared" si="38"/>
        <v>2236000</v>
      </c>
      <c r="Y65" s="25">
        <f t="shared" si="48"/>
        <v>32353000</v>
      </c>
      <c r="Z65" s="25">
        <v>34589000</v>
      </c>
      <c r="AA65" s="25">
        <f t="shared" si="5"/>
        <v>2236000</v>
      </c>
      <c r="AB65" s="25">
        <v>34589000</v>
      </c>
      <c r="AC65" s="202">
        <v>906</v>
      </c>
      <c r="AD65" s="194"/>
      <c r="AE65" s="195">
        <v>31556000</v>
      </c>
      <c r="AF65" s="194"/>
      <c r="AG65" s="194"/>
      <c r="AH65" s="195">
        <v>31556000</v>
      </c>
      <c r="AI65" s="195">
        <f>32353000-7223000</f>
        <v>25130000</v>
      </c>
      <c r="AJ65" s="194"/>
      <c r="AK65" s="194"/>
      <c r="AL65" s="195">
        <v>31556000</v>
      </c>
      <c r="AM65" s="195">
        <v>32353000</v>
      </c>
      <c r="AN65" s="195"/>
      <c r="AO65" s="195">
        <v>32353000</v>
      </c>
      <c r="AP65" s="396"/>
    </row>
    <row r="66" spans="1:43" ht="53.25" hidden="1" customHeight="1">
      <c r="A66" s="171" t="s">
        <v>46</v>
      </c>
      <c r="B66" s="165" t="s">
        <v>14</v>
      </c>
      <c r="C66" s="122">
        <v>3449</v>
      </c>
      <c r="D66" s="123"/>
      <c r="E66" s="124">
        <v>3449000</v>
      </c>
      <c r="F66" s="116">
        <f t="shared" si="49"/>
        <v>3449</v>
      </c>
      <c r="G66" s="116">
        <f t="shared" si="50"/>
        <v>0</v>
      </c>
      <c r="H66" s="114">
        <v>3673</v>
      </c>
      <c r="I66" s="114">
        <v>3673</v>
      </c>
      <c r="J66" s="114">
        <v>3673</v>
      </c>
      <c r="K66" s="131">
        <v>2329</v>
      </c>
      <c r="L66" s="195">
        <f t="shared" si="51"/>
        <v>4048000</v>
      </c>
      <c r="M66" s="195">
        <f t="shared" si="52"/>
        <v>4045671</v>
      </c>
      <c r="N66" s="195">
        <v>2329</v>
      </c>
      <c r="O66" s="195"/>
      <c r="P66" s="195"/>
      <c r="Q66" s="25">
        <f t="shared" si="45"/>
        <v>4048000</v>
      </c>
      <c r="R66" s="195">
        <v>5387000</v>
      </c>
      <c r="S66" s="25">
        <f t="shared" si="46"/>
        <v>4048000</v>
      </c>
      <c r="T66" s="25">
        <f t="shared" si="46"/>
        <v>1408000</v>
      </c>
      <c r="U66" s="25">
        <f t="shared" si="47"/>
        <v>4048000</v>
      </c>
      <c r="V66" s="25">
        <f t="shared" si="47"/>
        <v>2708000</v>
      </c>
      <c r="W66" s="25">
        <v>2442000</v>
      </c>
      <c r="X66" s="25">
        <f t="shared" si="38"/>
        <v>-266000</v>
      </c>
      <c r="Y66" s="25">
        <f t="shared" si="48"/>
        <v>2708000</v>
      </c>
      <c r="Z66" s="25">
        <v>2442000</v>
      </c>
      <c r="AA66" s="25">
        <f t="shared" si="5"/>
        <v>-266000</v>
      </c>
      <c r="AB66" s="25">
        <v>2442000</v>
      </c>
      <c r="AC66" s="202">
        <v>906</v>
      </c>
      <c r="AD66" s="194"/>
      <c r="AE66" s="195">
        <v>4048000</v>
      </c>
      <c r="AF66" s="194"/>
      <c r="AG66" s="194"/>
      <c r="AH66" s="195">
        <v>4048000</v>
      </c>
      <c r="AI66" s="195">
        <f>2708000-1300000</f>
        <v>1408000</v>
      </c>
      <c r="AJ66" s="194"/>
      <c r="AK66" s="194"/>
      <c r="AL66" s="195">
        <v>4048000</v>
      </c>
      <c r="AM66" s="195">
        <v>2708000</v>
      </c>
      <c r="AN66" s="195"/>
      <c r="AO66" s="195">
        <v>2708000</v>
      </c>
      <c r="AP66" s="396"/>
    </row>
    <row r="67" spans="1:43" ht="38.450000000000003" hidden="1" customHeight="1">
      <c r="A67" s="171" t="s">
        <v>47</v>
      </c>
      <c r="B67" s="165" t="s">
        <v>15</v>
      </c>
      <c r="C67" s="122">
        <v>5821</v>
      </c>
      <c r="D67" s="123"/>
      <c r="E67" s="124">
        <v>5820994</v>
      </c>
      <c r="F67" s="116">
        <f t="shared" si="49"/>
        <v>5820.9939999999997</v>
      </c>
      <c r="G67" s="116">
        <f t="shared" si="50"/>
        <v>-6.0000000003128662E-3</v>
      </c>
      <c r="H67" s="114">
        <v>3104</v>
      </c>
      <c r="I67" s="114">
        <f>3104+2580</f>
        <v>5684</v>
      </c>
      <c r="J67" s="114">
        <v>3954</v>
      </c>
      <c r="K67" s="131">
        <v>5031</v>
      </c>
      <c r="L67" s="195">
        <f t="shared" si="51"/>
        <v>15914522</v>
      </c>
      <c r="M67" s="195">
        <f t="shared" si="52"/>
        <v>15909491</v>
      </c>
      <c r="N67" s="195">
        <v>4385</v>
      </c>
      <c r="O67" s="195"/>
      <c r="P67" s="195"/>
      <c r="Q67" s="25">
        <f t="shared" si="45"/>
        <v>15914522</v>
      </c>
      <c r="R67" s="195">
        <v>19253400</v>
      </c>
      <c r="S67" s="25">
        <f t="shared" si="46"/>
        <v>60930701</v>
      </c>
      <c r="T67" s="25">
        <f t="shared" si="46"/>
        <v>22288869</v>
      </c>
      <c r="U67" s="25">
        <f t="shared" si="47"/>
        <v>62311914</v>
      </c>
      <c r="V67" s="25">
        <f t="shared" si="47"/>
        <v>25352300</v>
      </c>
      <c r="W67" s="25">
        <v>19444800</v>
      </c>
      <c r="X67" s="25">
        <f t="shared" si="38"/>
        <v>-5907500</v>
      </c>
      <c r="Y67" s="25">
        <f t="shared" si="48"/>
        <v>24249200</v>
      </c>
      <c r="Z67" s="25">
        <v>19523600</v>
      </c>
      <c r="AA67" s="25">
        <f t="shared" si="5"/>
        <v>-4725600</v>
      </c>
      <c r="AB67" s="25">
        <v>19605400</v>
      </c>
      <c r="AC67" s="202">
        <v>904</v>
      </c>
      <c r="AD67" s="194">
        <v>3710522</v>
      </c>
      <c r="AE67" s="195">
        <v>12204000</v>
      </c>
      <c r="AF67" s="194">
        <v>14205701</v>
      </c>
      <c r="AG67" s="194">
        <v>4501000</v>
      </c>
      <c r="AH67" s="195">
        <v>46725000</v>
      </c>
      <c r="AI67" s="195">
        <f>15535000+2252869</f>
        <v>17787869</v>
      </c>
      <c r="AJ67" s="194">
        <v>14882914</v>
      </c>
      <c r="AK67" s="194">
        <v>5818300</v>
      </c>
      <c r="AL67" s="195">
        <v>47429000</v>
      </c>
      <c r="AM67" s="195">
        <f>19534000</f>
        <v>19534000</v>
      </c>
      <c r="AN67" s="195">
        <v>5454200</v>
      </c>
      <c r="AO67" s="195">
        <f>18795000</f>
        <v>18795000</v>
      </c>
      <c r="AP67" s="396"/>
    </row>
    <row r="68" spans="1:43" ht="38.450000000000003" hidden="1" customHeight="1">
      <c r="A68" s="197" t="s">
        <v>160</v>
      </c>
      <c r="B68" s="165" t="s">
        <v>161</v>
      </c>
      <c r="C68" s="122"/>
      <c r="D68" s="123"/>
      <c r="E68" s="124"/>
      <c r="F68" s="116"/>
      <c r="G68" s="116"/>
      <c r="H68" s="114"/>
      <c r="I68" s="114"/>
      <c r="J68" s="114"/>
      <c r="K68" s="131"/>
      <c r="L68" s="195"/>
      <c r="M68" s="195"/>
      <c r="N68" s="195"/>
      <c r="O68" s="195"/>
      <c r="P68" s="195"/>
      <c r="Q68" s="25">
        <f t="shared" si="45"/>
        <v>4100</v>
      </c>
      <c r="R68" s="195">
        <v>101000</v>
      </c>
      <c r="S68" s="25">
        <f t="shared" si="46"/>
        <v>4300</v>
      </c>
      <c r="T68" s="25">
        <f t="shared" si="46"/>
        <v>14100</v>
      </c>
      <c r="U68" s="25">
        <f t="shared" si="47"/>
        <v>3900</v>
      </c>
      <c r="V68" s="25">
        <f t="shared" si="47"/>
        <v>14700</v>
      </c>
      <c r="W68" s="25">
        <v>14400</v>
      </c>
      <c r="X68" s="25">
        <f t="shared" si="38"/>
        <v>-300</v>
      </c>
      <c r="Y68" s="25">
        <f t="shared" si="48"/>
        <v>259300</v>
      </c>
      <c r="Z68" s="25">
        <v>242900</v>
      </c>
      <c r="AA68" s="25">
        <f t="shared" si="5"/>
        <v>-16400</v>
      </c>
      <c r="AB68" s="25">
        <v>14100</v>
      </c>
      <c r="AC68" s="202">
        <v>902</v>
      </c>
      <c r="AD68" s="194">
        <v>4100</v>
      </c>
      <c r="AE68" s="195"/>
      <c r="AF68" s="194">
        <v>4300</v>
      </c>
      <c r="AG68" s="194">
        <v>14100</v>
      </c>
      <c r="AH68" s="195"/>
      <c r="AI68" s="195"/>
      <c r="AJ68" s="194">
        <v>3900</v>
      </c>
      <c r="AK68" s="195">
        <v>14700</v>
      </c>
      <c r="AL68" s="195"/>
      <c r="AM68" s="195"/>
      <c r="AN68" s="195">
        <v>259300</v>
      </c>
      <c r="AO68" s="195"/>
      <c r="AP68" s="396"/>
    </row>
    <row r="69" spans="1:43" ht="23.45" hidden="1" customHeight="1">
      <c r="A69" s="171" t="s">
        <v>48</v>
      </c>
      <c r="B69" s="165" t="s">
        <v>16</v>
      </c>
      <c r="C69" s="122">
        <v>145</v>
      </c>
      <c r="D69" s="123"/>
      <c r="E69" s="124">
        <v>145000</v>
      </c>
      <c r="F69" s="116">
        <f>E69/1000</f>
        <v>145</v>
      </c>
      <c r="G69" s="116">
        <f>F69-C69</f>
        <v>0</v>
      </c>
      <c r="H69" s="114">
        <v>110</v>
      </c>
      <c r="I69" s="114">
        <v>110</v>
      </c>
      <c r="J69" s="114">
        <v>110</v>
      </c>
      <c r="K69" s="131">
        <v>111</v>
      </c>
      <c r="L69" s="195">
        <f>AD69+AE69</f>
        <v>92000</v>
      </c>
      <c r="M69" s="195">
        <f>L69-K69</f>
        <v>91889</v>
      </c>
      <c r="N69" s="195">
        <v>111</v>
      </c>
      <c r="O69" s="195"/>
      <c r="P69" s="195"/>
      <c r="Q69" s="25">
        <f t="shared" si="45"/>
        <v>92000</v>
      </c>
      <c r="R69" s="195">
        <v>0</v>
      </c>
      <c r="S69" s="25">
        <f t="shared" si="46"/>
        <v>92000</v>
      </c>
      <c r="T69" s="25">
        <f t="shared" si="46"/>
        <v>92000</v>
      </c>
      <c r="U69" s="25">
        <f t="shared" si="47"/>
        <v>92000</v>
      </c>
      <c r="V69" s="25">
        <f t="shared" si="47"/>
        <v>92000</v>
      </c>
      <c r="W69" s="25">
        <v>94000</v>
      </c>
      <c r="X69" s="25">
        <f t="shared" si="38"/>
        <v>2000</v>
      </c>
      <c r="Y69" s="25">
        <f t="shared" si="48"/>
        <v>92000</v>
      </c>
      <c r="Z69" s="25">
        <v>94000</v>
      </c>
      <c r="AA69" s="25">
        <f t="shared" si="5"/>
        <v>2000</v>
      </c>
      <c r="AB69" s="25">
        <v>94000</v>
      </c>
      <c r="AC69" s="202">
        <v>907</v>
      </c>
      <c r="AD69" s="194"/>
      <c r="AE69" s="195">
        <v>92000</v>
      </c>
      <c r="AF69" s="194"/>
      <c r="AG69" s="194"/>
      <c r="AH69" s="195">
        <v>92000</v>
      </c>
      <c r="AI69" s="195">
        <v>92000</v>
      </c>
      <c r="AJ69" s="194"/>
      <c r="AK69" s="194"/>
      <c r="AL69" s="195">
        <v>92000</v>
      </c>
      <c r="AM69" s="195">
        <v>92000</v>
      </c>
      <c r="AN69" s="195"/>
      <c r="AO69" s="195">
        <v>92000</v>
      </c>
      <c r="AP69" s="396"/>
    </row>
    <row r="70" spans="1:43" hidden="1">
      <c r="A70" s="126" t="s">
        <v>65</v>
      </c>
      <c r="B70" s="127" t="s">
        <v>87</v>
      </c>
      <c r="C70" s="123"/>
      <c r="D70" s="123"/>
      <c r="E70" s="124"/>
      <c r="F70" s="116">
        <f>E70/1000</f>
        <v>0</v>
      </c>
      <c r="G70" s="116">
        <f>F70-C70</f>
        <v>0</v>
      </c>
      <c r="H70" s="114"/>
      <c r="I70" s="114">
        <v>962</v>
      </c>
      <c r="J70" s="114"/>
      <c r="K70" s="131">
        <v>0</v>
      </c>
      <c r="L70" s="195">
        <f>AD70+AE70</f>
        <v>0</v>
      </c>
      <c r="M70" s="195">
        <f>L70-K70</f>
        <v>0</v>
      </c>
      <c r="N70" s="195">
        <v>0</v>
      </c>
      <c r="O70" s="195"/>
      <c r="P70" s="195"/>
      <c r="Q70" s="25">
        <f t="shared" si="45"/>
        <v>0</v>
      </c>
      <c r="R70" s="195">
        <v>37303000</v>
      </c>
      <c r="S70" s="25">
        <f>AF70+AH70</f>
        <v>0</v>
      </c>
      <c r="T70" s="195"/>
      <c r="U70" s="25">
        <f>AJ70+AL70</f>
        <v>0</v>
      </c>
      <c r="V70" s="25"/>
      <c r="W70" s="25"/>
      <c r="X70" s="25">
        <f t="shared" si="38"/>
        <v>0</v>
      </c>
      <c r="Y70" s="25"/>
      <c r="Z70" s="25"/>
      <c r="AA70" s="25">
        <f t="shared" si="5"/>
        <v>0</v>
      </c>
      <c r="AB70" s="25"/>
      <c r="AC70" s="202" t="s">
        <v>61</v>
      </c>
      <c r="AD70" s="194"/>
      <c r="AE70" s="195"/>
      <c r="AF70" s="194"/>
      <c r="AG70" s="194"/>
      <c r="AH70" s="195"/>
      <c r="AI70" s="195"/>
      <c r="AJ70" s="194"/>
      <c r="AK70" s="194"/>
      <c r="AL70" s="195"/>
      <c r="AM70" s="195"/>
      <c r="AN70" s="195"/>
      <c r="AO70" s="195"/>
      <c r="AP70" s="396"/>
    </row>
    <row r="71" spans="1:43" ht="16.5" customHeight="1">
      <c r="A71" s="209" t="s">
        <v>128</v>
      </c>
      <c r="B71" s="139" t="s">
        <v>127</v>
      </c>
      <c r="C71" s="224"/>
      <c r="D71" s="224"/>
      <c r="E71" s="225"/>
      <c r="F71" s="223"/>
      <c r="G71" s="223"/>
      <c r="H71" s="226"/>
      <c r="I71" s="226"/>
      <c r="J71" s="226"/>
      <c r="K71" s="227"/>
      <c r="L71" s="219">
        <f>AD71+AE71</f>
        <v>39812696.810000002</v>
      </c>
      <c r="M71" s="228"/>
      <c r="N71" s="228"/>
      <c r="O71" s="228"/>
      <c r="P71" s="228"/>
      <c r="Q71" s="24">
        <f>SUM(Q73:Q75)</f>
        <v>39812696.810000002</v>
      </c>
      <c r="R71" s="24">
        <f>SUM(R73:R75)</f>
        <v>0</v>
      </c>
      <c r="S71" s="24">
        <f>SUM(S73:S75)</f>
        <v>39000000</v>
      </c>
      <c r="T71" s="24">
        <f>SUM(T72:T77)</f>
        <v>76998580.310000002</v>
      </c>
      <c r="U71" s="24">
        <f t="shared" ref="U71:AO71" si="53">SUM(U72:U76)</f>
        <v>39000000</v>
      </c>
      <c r="V71" s="24">
        <f t="shared" si="53"/>
        <v>37498000</v>
      </c>
      <c r="W71" s="24">
        <f t="shared" si="53"/>
        <v>76036960</v>
      </c>
      <c r="X71" s="25">
        <f t="shared" si="38"/>
        <v>38538960</v>
      </c>
      <c r="Y71" s="24">
        <f t="shared" si="53"/>
        <v>37498000</v>
      </c>
      <c r="Z71" s="24">
        <f t="shared" si="53"/>
        <v>75911952</v>
      </c>
      <c r="AA71" s="25">
        <f t="shared" si="5"/>
        <v>38413952</v>
      </c>
      <c r="AB71" s="24">
        <f t="shared" si="53"/>
        <v>75661952</v>
      </c>
      <c r="AC71" s="24">
        <f t="shared" si="53"/>
        <v>4525</v>
      </c>
      <c r="AD71" s="24">
        <f t="shared" si="53"/>
        <v>39454069.840000004</v>
      </c>
      <c r="AE71" s="24">
        <f t="shared" si="53"/>
        <v>358626.97</v>
      </c>
      <c r="AF71" s="24">
        <f t="shared" si="53"/>
        <v>39000000</v>
      </c>
      <c r="AG71" s="24">
        <f t="shared" si="53"/>
        <v>72971731.900000006</v>
      </c>
      <c r="AH71" s="24">
        <f t="shared" si="53"/>
        <v>0</v>
      </c>
      <c r="AI71" s="24">
        <f t="shared" si="53"/>
        <v>2557802.41</v>
      </c>
      <c r="AJ71" s="24">
        <f t="shared" si="53"/>
        <v>39000000</v>
      </c>
      <c r="AK71" s="24">
        <f t="shared" si="53"/>
        <v>37498000</v>
      </c>
      <c r="AL71" s="24">
        <f t="shared" si="53"/>
        <v>0</v>
      </c>
      <c r="AM71" s="24">
        <f t="shared" si="53"/>
        <v>0</v>
      </c>
      <c r="AN71" s="24">
        <f t="shared" si="53"/>
        <v>37498000</v>
      </c>
      <c r="AO71" s="24">
        <f t="shared" si="53"/>
        <v>0</v>
      </c>
      <c r="AP71" s="396"/>
    </row>
    <row r="72" spans="1:43" ht="63" customHeight="1">
      <c r="A72" s="384" t="s">
        <v>203</v>
      </c>
      <c r="B72" s="120" t="s">
        <v>204</v>
      </c>
      <c r="C72" s="224"/>
      <c r="D72" s="224"/>
      <c r="E72" s="225"/>
      <c r="F72" s="223"/>
      <c r="G72" s="223"/>
      <c r="H72" s="226"/>
      <c r="I72" s="226"/>
      <c r="J72" s="226"/>
      <c r="K72" s="227"/>
      <c r="L72" s="219"/>
      <c r="M72" s="228"/>
      <c r="N72" s="228"/>
      <c r="O72" s="228"/>
      <c r="P72" s="228"/>
      <c r="Q72" s="24"/>
      <c r="R72" s="24"/>
      <c r="S72" s="24"/>
      <c r="T72" s="25">
        <f t="shared" ref="S72:T75" si="54">AG72+AI72</f>
        <v>208320</v>
      </c>
      <c r="U72" s="24"/>
      <c r="V72" s="25">
        <f t="shared" ref="U72:X82" si="55">AK72+AM72</f>
        <v>0</v>
      </c>
      <c r="W72" s="25">
        <v>624960</v>
      </c>
      <c r="X72" s="25">
        <f t="shared" ref="X72" si="56">AM72+AO72</f>
        <v>0</v>
      </c>
      <c r="Y72" s="25">
        <f>AN72</f>
        <v>0</v>
      </c>
      <c r="Z72" s="25">
        <v>749952</v>
      </c>
      <c r="AA72" s="25">
        <f t="shared" ref="Z72:AB82" si="57">Z72-Y72</f>
        <v>749952</v>
      </c>
      <c r="AB72" s="25">
        <v>749952</v>
      </c>
      <c r="AC72" s="385">
        <v>906</v>
      </c>
      <c r="AD72" s="367"/>
      <c r="AE72" s="24"/>
      <c r="AF72" s="367"/>
      <c r="AG72" s="378">
        <v>208320</v>
      </c>
      <c r="AH72" s="24"/>
      <c r="AI72" s="24"/>
      <c r="AJ72" s="367"/>
      <c r="AK72" s="367"/>
      <c r="AL72" s="24"/>
      <c r="AM72" s="24"/>
      <c r="AN72" s="24"/>
      <c r="AO72" s="24"/>
      <c r="AP72" s="396"/>
    </row>
    <row r="73" spans="1:43" ht="55.5" customHeight="1">
      <c r="A73" s="210" t="s">
        <v>114</v>
      </c>
      <c r="B73" s="120" t="s">
        <v>197</v>
      </c>
      <c r="C73" s="123"/>
      <c r="D73" s="123"/>
      <c r="E73" s="124"/>
      <c r="F73" s="116"/>
      <c r="G73" s="116"/>
      <c r="H73" s="114"/>
      <c r="I73" s="114"/>
      <c r="J73" s="114"/>
      <c r="K73" s="131"/>
      <c r="L73" s="195">
        <f>AD73+AE73</f>
        <v>38600000</v>
      </c>
      <c r="M73" s="154"/>
      <c r="N73" s="154"/>
      <c r="O73" s="154"/>
      <c r="P73" s="154"/>
      <c r="Q73" s="25">
        <f>AD73+AE73</f>
        <v>38600000</v>
      </c>
      <c r="R73" s="195"/>
      <c r="S73" s="25">
        <f t="shared" si="54"/>
        <v>39000000</v>
      </c>
      <c r="T73" s="25">
        <f t="shared" si="54"/>
        <v>70974000</v>
      </c>
      <c r="U73" s="25">
        <f t="shared" si="55"/>
        <v>39000000</v>
      </c>
      <c r="V73" s="25">
        <f t="shared" si="55"/>
        <v>37498000</v>
      </c>
      <c r="W73" s="25">
        <v>75412000</v>
      </c>
      <c r="X73" s="25">
        <f t="shared" si="55"/>
        <v>0</v>
      </c>
      <c r="Y73" s="25">
        <f>AN73+AO73</f>
        <v>37498000</v>
      </c>
      <c r="Z73" s="25">
        <v>75162000</v>
      </c>
      <c r="AA73" s="25">
        <f t="shared" si="57"/>
        <v>37664000</v>
      </c>
      <c r="AB73" s="25">
        <v>74912000</v>
      </c>
      <c r="AC73" s="202">
        <v>906</v>
      </c>
      <c r="AD73" s="198">
        <v>38600000</v>
      </c>
      <c r="AE73" s="195"/>
      <c r="AF73" s="198">
        <v>39000000</v>
      </c>
      <c r="AG73" s="198">
        <f>37748000+7173000+26053000</f>
        <v>70974000</v>
      </c>
      <c r="AH73" s="195"/>
      <c r="AI73" s="195"/>
      <c r="AJ73" s="198">
        <v>39000000</v>
      </c>
      <c r="AK73" s="198">
        <v>37498000</v>
      </c>
      <c r="AL73" s="195"/>
      <c r="AM73" s="195"/>
      <c r="AN73" s="195">
        <v>37498000</v>
      </c>
      <c r="AO73" s="195"/>
      <c r="AP73" s="396"/>
    </row>
    <row r="74" spans="1:43" ht="38.25" customHeight="1">
      <c r="A74" s="231" t="s">
        <v>178</v>
      </c>
      <c r="B74" s="232" t="s">
        <v>179</v>
      </c>
      <c r="C74" s="233"/>
      <c r="D74" s="233"/>
      <c r="E74" s="234"/>
      <c r="F74" s="116">
        <f>E74/1000</f>
        <v>0</v>
      </c>
      <c r="G74" s="116">
        <f>F74-C74</f>
        <v>0</v>
      </c>
      <c r="H74" s="235"/>
      <c r="I74" s="235"/>
      <c r="J74" s="235"/>
      <c r="K74" s="235">
        <v>1000</v>
      </c>
      <c r="L74" s="236">
        <f>AD74+AE74</f>
        <v>862696.80999999994</v>
      </c>
      <c r="M74" s="236">
        <f>L74-K74</f>
        <v>861696.80999999994</v>
      </c>
      <c r="N74" s="236">
        <v>0</v>
      </c>
      <c r="O74" s="236"/>
      <c r="P74" s="236"/>
      <c r="Q74" s="25">
        <f>AD74+AE74</f>
        <v>862696.80999999994</v>
      </c>
      <c r="R74" s="236"/>
      <c r="S74" s="237">
        <f t="shared" si="54"/>
        <v>0</v>
      </c>
      <c r="T74" s="25">
        <f t="shared" si="54"/>
        <v>1807486.77</v>
      </c>
      <c r="U74" s="237">
        <f t="shared" si="55"/>
        <v>0</v>
      </c>
      <c r="V74" s="25">
        <f t="shared" si="55"/>
        <v>0</v>
      </c>
      <c r="W74" s="25">
        <f t="shared" si="55"/>
        <v>0</v>
      </c>
      <c r="X74" s="25">
        <f t="shared" si="55"/>
        <v>0</v>
      </c>
      <c r="Y74" s="25">
        <f>AN74+AO74</f>
        <v>0</v>
      </c>
      <c r="Z74" s="25">
        <f t="shared" si="57"/>
        <v>0</v>
      </c>
      <c r="AA74" s="25">
        <f t="shared" si="57"/>
        <v>0</v>
      </c>
      <c r="AB74" s="25">
        <f t="shared" si="57"/>
        <v>0</v>
      </c>
      <c r="AC74" s="239">
        <v>906</v>
      </c>
      <c r="AD74" s="240">
        <v>854069.84</v>
      </c>
      <c r="AE74" s="240">
        <v>8626.9699999999993</v>
      </c>
      <c r="AF74" s="240"/>
      <c r="AG74" s="240">
        <f>1894671.43-105259.53</f>
        <v>1789411.9</v>
      </c>
      <c r="AH74" s="240"/>
      <c r="AI74" s="240">
        <f>19138.09-1063.22</f>
        <v>18074.87</v>
      </c>
      <c r="AJ74" s="240"/>
      <c r="AK74" s="240"/>
      <c r="AL74" s="240"/>
      <c r="AM74" s="240"/>
      <c r="AN74" s="240"/>
      <c r="AO74" s="240"/>
      <c r="AP74" s="396"/>
    </row>
    <row r="75" spans="1:43">
      <c r="A75" s="171" t="s">
        <v>49</v>
      </c>
      <c r="B75" s="30" t="s">
        <v>18</v>
      </c>
      <c r="C75" s="123">
        <f>180+360</f>
        <v>540</v>
      </c>
      <c r="D75" s="123">
        <v>360</v>
      </c>
      <c r="E75" s="124">
        <f>180000+360000</f>
        <v>540000</v>
      </c>
      <c r="F75" s="194">
        <f>E75/1000</f>
        <v>540</v>
      </c>
      <c r="G75" s="194">
        <f>F75-C75</f>
        <v>0</v>
      </c>
      <c r="H75" s="114"/>
      <c r="I75" s="114"/>
      <c r="J75" s="114"/>
      <c r="K75" s="114"/>
      <c r="L75" s="195"/>
      <c r="M75" s="195"/>
      <c r="N75" s="195"/>
      <c r="O75" s="195"/>
      <c r="P75" s="195"/>
      <c r="Q75" s="25">
        <f>AD75+AE75</f>
        <v>350000</v>
      </c>
      <c r="R75" s="195"/>
      <c r="S75" s="25">
        <f t="shared" si="54"/>
        <v>0</v>
      </c>
      <c r="T75" s="25">
        <f t="shared" si="54"/>
        <v>625000</v>
      </c>
      <c r="U75" s="25">
        <f t="shared" si="55"/>
        <v>0</v>
      </c>
      <c r="V75" s="25">
        <f t="shared" si="55"/>
        <v>0</v>
      </c>
      <c r="W75" s="25">
        <f t="shared" si="55"/>
        <v>0</v>
      </c>
      <c r="X75" s="25">
        <f t="shared" si="55"/>
        <v>0</v>
      </c>
      <c r="Y75" s="25">
        <f>AN75+AO75</f>
        <v>0</v>
      </c>
      <c r="Z75" s="25">
        <f t="shared" si="57"/>
        <v>0</v>
      </c>
      <c r="AA75" s="25">
        <f t="shared" si="57"/>
        <v>0</v>
      </c>
      <c r="AB75" s="25">
        <f t="shared" si="57"/>
        <v>0</v>
      </c>
      <c r="AC75" s="202">
        <v>902</v>
      </c>
      <c r="AD75" s="194"/>
      <c r="AE75" s="194">
        <v>350000</v>
      </c>
      <c r="AF75" s="194"/>
      <c r="AG75" s="194"/>
      <c r="AH75" s="194"/>
      <c r="AI75" s="194">
        <f>265000+360000</f>
        <v>625000</v>
      </c>
      <c r="AJ75" s="194"/>
      <c r="AK75" s="194"/>
      <c r="AL75" s="194"/>
      <c r="AM75" s="194"/>
      <c r="AN75" s="194"/>
      <c r="AO75" s="194"/>
      <c r="AP75" s="396"/>
    </row>
    <row r="76" spans="1:43">
      <c r="A76" s="171" t="s">
        <v>49</v>
      </c>
      <c r="B76" s="30" t="s">
        <v>18</v>
      </c>
      <c r="C76" s="123"/>
      <c r="D76" s="123"/>
      <c r="E76" s="124"/>
      <c r="F76" s="194"/>
      <c r="G76" s="194"/>
      <c r="H76" s="114"/>
      <c r="I76" s="114"/>
      <c r="J76" s="114"/>
      <c r="K76" s="114"/>
      <c r="L76" s="195"/>
      <c r="M76" s="195"/>
      <c r="N76" s="195"/>
      <c r="O76" s="195"/>
      <c r="P76" s="195"/>
      <c r="Q76" s="25"/>
      <c r="R76" s="195"/>
      <c r="S76" s="25"/>
      <c r="T76" s="25">
        <f>AG76+AI76</f>
        <v>1914727.54</v>
      </c>
      <c r="U76" s="25">
        <f t="shared" si="55"/>
        <v>0</v>
      </c>
      <c r="V76" s="25">
        <f t="shared" si="55"/>
        <v>0</v>
      </c>
      <c r="W76" s="25">
        <f t="shared" si="55"/>
        <v>0</v>
      </c>
      <c r="X76" s="25">
        <f t="shared" si="55"/>
        <v>0</v>
      </c>
      <c r="Y76" s="25">
        <f>AN76+AO76</f>
        <v>0</v>
      </c>
      <c r="Z76" s="25">
        <f t="shared" si="57"/>
        <v>0</v>
      </c>
      <c r="AA76" s="25">
        <f t="shared" si="57"/>
        <v>0</v>
      </c>
      <c r="AB76" s="25">
        <f t="shared" si="57"/>
        <v>0</v>
      </c>
      <c r="AC76" s="202">
        <v>905</v>
      </c>
      <c r="AD76" s="194"/>
      <c r="AE76" s="194"/>
      <c r="AF76" s="194"/>
      <c r="AG76" s="194"/>
      <c r="AH76" s="194"/>
      <c r="AI76" s="194">
        <v>1914727.54</v>
      </c>
      <c r="AJ76" s="194"/>
      <c r="AK76" s="194"/>
      <c r="AL76" s="194"/>
      <c r="AM76" s="194"/>
      <c r="AN76" s="194"/>
      <c r="AO76" s="194"/>
      <c r="AP76" s="396"/>
    </row>
    <row r="77" spans="1:43">
      <c r="A77" s="171" t="s">
        <v>49</v>
      </c>
      <c r="B77" s="30" t="s">
        <v>18</v>
      </c>
      <c r="C77" s="123"/>
      <c r="D77" s="123"/>
      <c r="E77" s="124"/>
      <c r="F77" s="194"/>
      <c r="G77" s="194"/>
      <c r="H77" s="114"/>
      <c r="I77" s="114"/>
      <c r="J77" s="114"/>
      <c r="K77" s="114"/>
      <c r="L77" s="195"/>
      <c r="M77" s="195"/>
      <c r="N77" s="195"/>
      <c r="O77" s="195"/>
      <c r="P77" s="195"/>
      <c r="Q77" s="25"/>
      <c r="R77" s="195"/>
      <c r="S77" s="25"/>
      <c r="T77" s="25">
        <v>1469046</v>
      </c>
      <c r="U77" s="25"/>
      <c r="V77" s="25">
        <f t="shared" si="55"/>
        <v>0</v>
      </c>
      <c r="W77" s="25">
        <f t="shared" si="55"/>
        <v>0</v>
      </c>
      <c r="X77" s="25">
        <f t="shared" si="55"/>
        <v>0</v>
      </c>
      <c r="Y77" s="25">
        <f>AN77+AO77</f>
        <v>0</v>
      </c>
      <c r="Z77" s="25">
        <f t="shared" si="57"/>
        <v>0</v>
      </c>
      <c r="AA77" s="25">
        <f t="shared" si="57"/>
        <v>0</v>
      </c>
      <c r="AB77" s="25">
        <f t="shared" si="57"/>
        <v>0</v>
      </c>
      <c r="AC77" s="202"/>
      <c r="AD77" s="194"/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  <c r="AP77" s="396"/>
    </row>
    <row r="78" spans="1:43">
      <c r="A78" s="229" t="s">
        <v>55</v>
      </c>
      <c r="B78" s="230" t="s">
        <v>56</v>
      </c>
      <c r="C78" s="224"/>
      <c r="D78" s="224"/>
      <c r="E78" s="225"/>
      <c r="F78" s="201"/>
      <c r="G78" s="201"/>
      <c r="H78" s="226"/>
      <c r="I78" s="226"/>
      <c r="J78" s="226"/>
      <c r="K78" s="226"/>
      <c r="L78" s="219"/>
      <c r="M78" s="219"/>
      <c r="N78" s="219"/>
      <c r="O78" s="219"/>
      <c r="P78" s="219"/>
      <c r="Q78" s="24">
        <f>SUM(Q79:Q82)</f>
        <v>55335375.75</v>
      </c>
      <c r="R78" s="24">
        <f>SUM(R79:R82)</f>
        <v>0</v>
      </c>
      <c r="S78" s="24">
        <f>SUM(S79:S82)</f>
        <v>0</v>
      </c>
      <c r="T78" s="24">
        <f>SUM(T79:T82)</f>
        <v>53416972.859999999</v>
      </c>
      <c r="U78" s="24">
        <f>SUM(U79:U82)</f>
        <v>0</v>
      </c>
      <c r="V78" s="25">
        <f t="shared" si="55"/>
        <v>0</v>
      </c>
      <c r="W78" s="25">
        <f t="shared" si="55"/>
        <v>0</v>
      </c>
      <c r="X78" s="25">
        <f t="shared" si="55"/>
        <v>0</v>
      </c>
      <c r="Y78" s="25">
        <f t="shared" ref="Y78:Y82" si="58">AN78+AO78</f>
        <v>0</v>
      </c>
      <c r="Z78" s="25">
        <f t="shared" si="57"/>
        <v>0</v>
      </c>
      <c r="AA78" s="25">
        <f t="shared" si="57"/>
        <v>0</v>
      </c>
      <c r="AB78" s="25">
        <f t="shared" si="57"/>
        <v>0</v>
      </c>
      <c r="AC78" s="24"/>
      <c r="AD78" s="24">
        <f t="shared" ref="AD78:AO78" si="59">SUM(AD79:AD82)</f>
        <v>0</v>
      </c>
      <c r="AE78" s="24">
        <f t="shared" si="59"/>
        <v>0</v>
      </c>
      <c r="AF78" s="24">
        <f t="shared" si="59"/>
        <v>0</v>
      </c>
      <c r="AG78" s="24">
        <f t="shared" si="59"/>
        <v>0</v>
      </c>
      <c r="AH78" s="24">
        <f t="shared" si="59"/>
        <v>0</v>
      </c>
      <c r="AI78" s="24">
        <f t="shared" si="59"/>
        <v>0</v>
      </c>
      <c r="AJ78" s="24">
        <f t="shared" si="59"/>
        <v>0</v>
      </c>
      <c r="AK78" s="24">
        <f t="shared" si="59"/>
        <v>0</v>
      </c>
      <c r="AL78" s="24">
        <f t="shared" si="59"/>
        <v>0</v>
      </c>
      <c r="AM78" s="24">
        <f t="shared" si="59"/>
        <v>0</v>
      </c>
      <c r="AN78" s="24">
        <f t="shared" si="59"/>
        <v>0</v>
      </c>
      <c r="AO78" s="24">
        <f t="shared" si="59"/>
        <v>0</v>
      </c>
      <c r="AP78" s="396"/>
    </row>
    <row r="79" spans="1:43" hidden="1">
      <c r="A79" s="115" t="s">
        <v>55</v>
      </c>
      <c r="B79" s="117" t="s">
        <v>56</v>
      </c>
      <c r="C79" s="123"/>
      <c r="D79" s="123"/>
      <c r="E79" s="124"/>
      <c r="F79" s="194"/>
      <c r="G79" s="194"/>
      <c r="H79" s="114"/>
      <c r="I79" s="114"/>
      <c r="J79" s="114"/>
      <c r="K79" s="114"/>
      <c r="L79" s="195"/>
      <c r="M79" s="195"/>
      <c r="N79" s="195"/>
      <c r="O79" s="195"/>
      <c r="P79" s="195"/>
      <c r="Q79" s="25">
        <f>7334375.75+1000</f>
        <v>7335375.75</v>
      </c>
      <c r="R79" s="195"/>
      <c r="S79" s="25"/>
      <c r="T79" s="195">
        <f>619379.5+13335012.53+700000-275.25-45942.47-72884.61-27600</f>
        <v>14507689.699999999</v>
      </c>
      <c r="U79" s="25"/>
      <c r="V79" s="25">
        <f t="shared" si="55"/>
        <v>0</v>
      </c>
      <c r="W79" s="25">
        <f t="shared" si="55"/>
        <v>0</v>
      </c>
      <c r="X79" s="25">
        <f t="shared" si="55"/>
        <v>0</v>
      </c>
      <c r="Y79" s="25">
        <f t="shared" si="58"/>
        <v>0</v>
      </c>
      <c r="Z79" s="25">
        <f t="shared" si="57"/>
        <v>0</v>
      </c>
      <c r="AA79" s="25">
        <f t="shared" si="57"/>
        <v>0</v>
      </c>
      <c r="AB79" s="25">
        <f t="shared" si="57"/>
        <v>0</v>
      </c>
      <c r="AC79" s="202">
        <v>905</v>
      </c>
      <c r="AD79" s="194"/>
      <c r="AE79" s="194"/>
      <c r="AF79" s="194"/>
      <c r="AG79" s="194"/>
      <c r="AH79" s="194"/>
      <c r="AI79" s="194"/>
      <c r="AJ79" s="194"/>
      <c r="AK79" s="194"/>
      <c r="AL79" s="194"/>
      <c r="AM79" s="194"/>
      <c r="AN79" s="194"/>
      <c r="AO79" s="194"/>
      <c r="AP79" s="116"/>
      <c r="AQ79" s="116"/>
    </row>
    <row r="80" spans="1:43" hidden="1">
      <c r="A80" s="115" t="s">
        <v>55</v>
      </c>
      <c r="B80" s="117" t="s">
        <v>56</v>
      </c>
      <c r="C80" s="211">
        <f>3208.7+534.9</f>
        <v>3743.6</v>
      </c>
      <c r="D80" s="212"/>
      <c r="E80" s="213">
        <f>3208759+534875</f>
        <v>3743634</v>
      </c>
      <c r="F80" s="194">
        <f>E80/1000</f>
        <v>3743.634</v>
      </c>
      <c r="G80" s="194">
        <f>F80-C80</f>
        <v>3.4000000000105501E-2</v>
      </c>
      <c r="H80" s="114"/>
      <c r="I80" s="114"/>
      <c r="J80" s="114"/>
      <c r="K80" s="114"/>
      <c r="L80" s="195">
        <v>124000</v>
      </c>
      <c r="M80" s="195"/>
      <c r="N80" s="195"/>
      <c r="O80" s="195"/>
      <c r="P80" s="195"/>
      <c r="Q80" s="195">
        <v>24000000</v>
      </c>
      <c r="R80" s="195"/>
      <c r="S80" s="25">
        <f>AF80+AH80</f>
        <v>0</v>
      </c>
      <c r="T80" s="195">
        <v>22574283.16</v>
      </c>
      <c r="U80" s="25">
        <f>AJ80+AL80</f>
        <v>0</v>
      </c>
      <c r="V80" s="25">
        <f t="shared" si="55"/>
        <v>0</v>
      </c>
      <c r="W80" s="25">
        <f t="shared" si="55"/>
        <v>0</v>
      </c>
      <c r="X80" s="25">
        <f t="shared" si="55"/>
        <v>0</v>
      </c>
      <c r="Y80" s="25">
        <f t="shared" si="58"/>
        <v>0</v>
      </c>
      <c r="Z80" s="25">
        <f t="shared" si="57"/>
        <v>0</v>
      </c>
      <c r="AA80" s="25">
        <f t="shared" si="57"/>
        <v>0</v>
      </c>
      <c r="AB80" s="25">
        <f t="shared" si="57"/>
        <v>0</v>
      </c>
      <c r="AC80" s="202">
        <v>906</v>
      </c>
      <c r="AD80" s="194"/>
      <c r="AE80" s="194"/>
      <c r="AF80" s="194"/>
      <c r="AG80" s="194"/>
      <c r="AH80" s="194"/>
      <c r="AI80" s="194"/>
      <c r="AJ80" s="194"/>
      <c r="AK80" s="194"/>
      <c r="AL80" s="194"/>
      <c r="AM80" s="194"/>
      <c r="AN80" s="194"/>
      <c r="AO80" s="194"/>
    </row>
    <row r="81" spans="1:41" hidden="1">
      <c r="A81" s="115" t="s">
        <v>55</v>
      </c>
      <c r="B81" s="117" t="s">
        <v>56</v>
      </c>
      <c r="C81" s="211"/>
      <c r="D81" s="212"/>
      <c r="E81" s="213"/>
      <c r="F81" s="194"/>
      <c r="G81" s="194"/>
      <c r="H81" s="114"/>
      <c r="I81" s="114"/>
      <c r="J81" s="114"/>
      <c r="K81" s="114"/>
      <c r="L81" s="195"/>
      <c r="M81" s="195"/>
      <c r="N81" s="195"/>
      <c r="O81" s="195"/>
      <c r="P81" s="195"/>
      <c r="Q81" s="195"/>
      <c r="R81" s="195"/>
      <c r="S81" s="25"/>
      <c r="T81" s="195">
        <v>8400000</v>
      </c>
      <c r="U81" s="25"/>
      <c r="V81" s="25">
        <f t="shared" si="55"/>
        <v>0</v>
      </c>
      <c r="W81" s="25">
        <f t="shared" si="55"/>
        <v>0</v>
      </c>
      <c r="X81" s="25">
        <f t="shared" si="55"/>
        <v>0</v>
      </c>
      <c r="Y81" s="25">
        <f t="shared" si="58"/>
        <v>0</v>
      </c>
      <c r="Z81" s="25">
        <f t="shared" si="57"/>
        <v>0</v>
      </c>
      <c r="AA81" s="25">
        <f t="shared" si="57"/>
        <v>0</v>
      </c>
      <c r="AB81" s="25">
        <f t="shared" si="57"/>
        <v>0</v>
      </c>
      <c r="AC81" s="202">
        <v>904</v>
      </c>
      <c r="AD81" s="194"/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</row>
    <row r="82" spans="1:41" ht="16.899999999999999" hidden="1" customHeight="1">
      <c r="A82" s="115" t="s">
        <v>55</v>
      </c>
      <c r="B82" s="117" t="s">
        <v>56</v>
      </c>
      <c r="C82" s="211">
        <f>3208.7+534.9</f>
        <v>3743.6</v>
      </c>
      <c r="D82" s="212"/>
      <c r="E82" s="213">
        <f>3208759+534875</f>
        <v>3743634</v>
      </c>
      <c r="F82" s="194">
        <f>E82/1000</f>
        <v>3743.634</v>
      </c>
      <c r="G82" s="194">
        <f>F82-C82</f>
        <v>3.4000000000105501E-2</v>
      </c>
      <c r="H82" s="114"/>
      <c r="I82" s="114"/>
      <c r="J82" s="114"/>
      <c r="K82" s="114"/>
      <c r="L82" s="195">
        <v>124000</v>
      </c>
      <c r="M82" s="195"/>
      <c r="N82" s="195"/>
      <c r="O82" s="195"/>
      <c r="P82" s="195"/>
      <c r="Q82" s="195">
        <v>24000000</v>
      </c>
      <c r="R82" s="195"/>
      <c r="S82" s="25">
        <f>AF82+AH82</f>
        <v>0</v>
      </c>
      <c r="T82" s="195">
        <f>8000000-65000</f>
        <v>7935000</v>
      </c>
      <c r="U82" s="25">
        <f>AJ82+AL82</f>
        <v>0</v>
      </c>
      <c r="V82" s="25">
        <f t="shared" si="55"/>
        <v>0</v>
      </c>
      <c r="W82" s="25">
        <f t="shared" si="55"/>
        <v>0</v>
      </c>
      <c r="X82" s="25">
        <f t="shared" si="55"/>
        <v>0</v>
      </c>
      <c r="Y82" s="25">
        <f t="shared" si="58"/>
        <v>0</v>
      </c>
      <c r="Z82" s="25">
        <f t="shared" si="57"/>
        <v>0</v>
      </c>
      <c r="AA82" s="25">
        <f t="shared" si="57"/>
        <v>0</v>
      </c>
      <c r="AB82" s="25">
        <f t="shared" si="57"/>
        <v>0</v>
      </c>
      <c r="AC82" s="202">
        <v>907</v>
      </c>
      <c r="AD82" s="194"/>
      <c r="AE82" s="194"/>
      <c r="AF82" s="194"/>
      <c r="AG82" s="194"/>
      <c r="AH82" s="194"/>
      <c r="AI82" s="194"/>
      <c r="AJ82" s="194"/>
      <c r="AK82" s="194"/>
      <c r="AL82" s="194"/>
      <c r="AM82" s="194"/>
      <c r="AN82" s="194"/>
      <c r="AO82" s="194"/>
    </row>
    <row r="83" spans="1:41" hidden="1">
      <c r="C83" s="205">
        <f>C6</f>
        <v>864721.7</v>
      </c>
      <c r="D83" s="205">
        <f>D6</f>
        <v>360</v>
      </c>
      <c r="E83" s="205">
        <f>E6</f>
        <v>864721718.66999996</v>
      </c>
      <c r="F83" s="205">
        <f>F6</f>
        <v>832206.21461999987</v>
      </c>
      <c r="G83" s="205">
        <f>G6</f>
        <v>0.11462000000285499</v>
      </c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</row>
    <row r="84" spans="1:41" hidden="1">
      <c r="C84" s="116">
        <f>C6-C83</f>
        <v>0</v>
      </c>
      <c r="D84" s="116">
        <f>D6-D83</f>
        <v>0</v>
      </c>
      <c r="E84" s="116">
        <f>E6-E83</f>
        <v>0</v>
      </c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hidden="1">
      <c r="A85" s="189" t="s">
        <v>137</v>
      </c>
      <c r="C85" s="116"/>
      <c r="D85" s="116"/>
      <c r="E85" s="116"/>
      <c r="H85" s="206">
        <v>0</v>
      </c>
      <c r="I85" s="206">
        <v>1</v>
      </c>
      <c r="J85" s="206"/>
      <c r="K85" s="206"/>
      <c r="L85" s="206">
        <f>L7</f>
        <v>28719000</v>
      </c>
      <c r="M85" s="206">
        <f>M7</f>
        <v>21255000</v>
      </c>
      <c r="N85" s="206">
        <f>N7</f>
        <v>0</v>
      </c>
      <c r="O85" s="206">
        <f>O7</f>
        <v>0</v>
      </c>
      <c r="P85" s="206">
        <f t="shared" ref="P85:S85" si="60">P10+P11+P8</f>
        <v>0</v>
      </c>
      <c r="Q85" s="206">
        <f t="shared" si="60"/>
        <v>21255000</v>
      </c>
      <c r="R85" s="206">
        <f t="shared" si="60"/>
        <v>0</v>
      </c>
      <c r="S85" s="206">
        <f t="shared" si="60"/>
        <v>0</v>
      </c>
      <c r="T85" s="206">
        <f>T10+T11+T8</f>
        <v>62307000</v>
      </c>
      <c r="U85" s="206">
        <f t="shared" ref="U85:AO85" si="61">U10+U11+U8</f>
        <v>0</v>
      </c>
      <c r="V85" s="206">
        <f t="shared" si="61"/>
        <v>4387000</v>
      </c>
      <c r="W85" s="206"/>
      <c r="X85" s="206"/>
      <c r="Y85" s="206">
        <f t="shared" si="61"/>
        <v>0</v>
      </c>
      <c r="Z85" s="206"/>
      <c r="AA85" s="206"/>
      <c r="AB85" s="206"/>
      <c r="AC85" s="206"/>
      <c r="AD85" s="206">
        <f t="shared" si="61"/>
        <v>0</v>
      </c>
      <c r="AE85" s="206">
        <f t="shared" si="61"/>
        <v>21255000</v>
      </c>
      <c r="AF85" s="206">
        <f t="shared" si="61"/>
        <v>0</v>
      </c>
      <c r="AG85" s="206">
        <f t="shared" si="61"/>
        <v>0</v>
      </c>
      <c r="AH85" s="206">
        <f t="shared" si="61"/>
        <v>0</v>
      </c>
      <c r="AI85" s="206">
        <f t="shared" si="61"/>
        <v>62307000</v>
      </c>
      <c r="AJ85" s="206">
        <f t="shared" si="61"/>
        <v>0</v>
      </c>
      <c r="AK85" s="206">
        <f t="shared" si="61"/>
        <v>0</v>
      </c>
      <c r="AL85" s="206">
        <f t="shared" si="61"/>
        <v>0</v>
      </c>
      <c r="AM85" s="206">
        <f t="shared" si="61"/>
        <v>4387000</v>
      </c>
      <c r="AN85" s="206">
        <f t="shared" si="61"/>
        <v>0</v>
      </c>
      <c r="AO85" s="206">
        <f t="shared" si="61"/>
        <v>0</v>
      </c>
    </row>
    <row r="86" spans="1:41" hidden="1">
      <c r="A86" s="189" t="s">
        <v>61</v>
      </c>
      <c r="C86" s="116"/>
      <c r="D86" s="116"/>
      <c r="E86" s="116"/>
      <c r="H86" s="206">
        <f>H28+H26+H38+H39+H40+H57+H58+H61+H62+H70+H7</f>
        <v>3325</v>
      </c>
      <c r="I86" s="206">
        <f>I28+I26+I38+I39+I40+I57+I58+I61+I62+I70+I7</f>
        <v>13244</v>
      </c>
      <c r="J86" s="206">
        <f>J28+J26+J38+J39+J40+J57+J58+J61+J62+J70+J7</f>
        <v>2221</v>
      </c>
      <c r="K86" s="206">
        <f>K28+K26+K38+K39+K40+K57+K58+K61+K62+K70+K7</f>
        <v>12180</v>
      </c>
      <c r="L86" s="206">
        <f>L28+L26+L38+L39+L40+L57+L58+L61+L62+L70+L60</f>
        <v>5831614.9000000004</v>
      </c>
      <c r="M86" s="206">
        <f>M28+M26+M38+M39+M40+M57+M58+M61+M62+M70+M60</f>
        <v>5819434.9000000004</v>
      </c>
      <c r="N86" s="206">
        <f>N28+N26+N38+N39+N40+N57+N58+N61+N62+N70+N60</f>
        <v>2180</v>
      </c>
      <c r="O86" s="206">
        <f>O28+O26+O38+O39+O40+O57+O58+O61+O62+O70+O60</f>
        <v>0</v>
      </c>
      <c r="P86" s="206">
        <f t="shared" ref="P86:V86" si="62">P26+P39+P40+P57+P60+P62+P68+P38+P58+P75</f>
        <v>0</v>
      </c>
      <c r="Q86" s="206">
        <f t="shared" si="62"/>
        <v>7662714.9000000004</v>
      </c>
      <c r="R86" s="206">
        <f t="shared" si="62"/>
        <v>3416921.05</v>
      </c>
      <c r="S86" s="206">
        <f t="shared" si="62"/>
        <v>5666928.8399999999</v>
      </c>
      <c r="T86" s="206">
        <f t="shared" si="62"/>
        <v>6383843</v>
      </c>
      <c r="U86" s="206">
        <f t="shared" si="62"/>
        <v>5999539.54</v>
      </c>
      <c r="V86" s="206">
        <f t="shared" si="62"/>
        <v>6350069.5099999998</v>
      </c>
      <c r="W86" s="206"/>
      <c r="X86" s="206"/>
      <c r="Y86" s="206">
        <f>Y26+Y39+Y40+Y57+Y60+Y62+Y68+Y38+Y58+Y75</f>
        <v>5555896.0499999998</v>
      </c>
      <c r="Z86" s="206"/>
      <c r="AA86" s="206"/>
      <c r="AB86" s="206"/>
      <c r="AC86" s="206"/>
      <c r="AD86" s="206">
        <f t="shared" ref="AD86:AO86" si="63">AD26+AD39+AD40+AD57+AD60+AD62+AD68+AD38+AD58+AD75</f>
        <v>3270416.61</v>
      </c>
      <c r="AE86" s="206">
        <f t="shared" si="63"/>
        <v>4392298.29</v>
      </c>
      <c r="AF86" s="206">
        <f t="shared" si="63"/>
        <v>1838758.69</v>
      </c>
      <c r="AG86" s="206">
        <f t="shared" si="63"/>
        <v>1750517.57</v>
      </c>
      <c r="AH86" s="206">
        <f t="shared" si="63"/>
        <v>3828170.15</v>
      </c>
      <c r="AI86" s="206">
        <f t="shared" si="63"/>
        <v>4633325.43</v>
      </c>
      <c r="AJ86" s="206">
        <f t="shared" si="63"/>
        <v>2138015.89</v>
      </c>
      <c r="AK86" s="206">
        <f t="shared" si="63"/>
        <v>2330680.09</v>
      </c>
      <c r="AL86" s="206">
        <f t="shared" si="63"/>
        <v>3861523.65</v>
      </c>
      <c r="AM86" s="206">
        <f t="shared" si="63"/>
        <v>4019389.42</v>
      </c>
      <c r="AN86" s="206">
        <f t="shared" si="63"/>
        <v>1656912.55</v>
      </c>
      <c r="AO86" s="206">
        <f t="shared" si="63"/>
        <v>3898983.5</v>
      </c>
    </row>
    <row r="87" spans="1:41" hidden="1">
      <c r="A87" s="189" t="s">
        <v>63</v>
      </c>
      <c r="H87" s="206">
        <f t="shared" ref="H87:O87" si="64">H67</f>
        <v>3104</v>
      </c>
      <c r="I87" s="206">
        <f t="shared" si="64"/>
        <v>5684</v>
      </c>
      <c r="J87" s="206">
        <f t="shared" si="64"/>
        <v>3954</v>
      </c>
      <c r="K87" s="206">
        <f t="shared" si="64"/>
        <v>5031</v>
      </c>
      <c r="L87" s="206">
        <f t="shared" si="64"/>
        <v>15914522</v>
      </c>
      <c r="M87" s="206">
        <f t="shared" si="64"/>
        <v>15909491</v>
      </c>
      <c r="N87" s="206">
        <f t="shared" si="64"/>
        <v>4385</v>
      </c>
      <c r="O87" s="206">
        <f t="shared" si="64"/>
        <v>0</v>
      </c>
      <c r="P87" s="206">
        <f>P45+P67</f>
        <v>0</v>
      </c>
      <c r="Q87" s="206">
        <f>Q45+Q67</f>
        <v>15914522</v>
      </c>
      <c r="R87" s="206">
        <f>R45+R67</f>
        <v>19253400</v>
      </c>
      <c r="S87" s="206">
        <f>S45+S67</f>
        <v>60930701</v>
      </c>
      <c r="T87" s="206">
        <f>T45+T67+T81</f>
        <v>30688869</v>
      </c>
      <c r="U87" s="206">
        <f>U45+U67+U81</f>
        <v>64126632</v>
      </c>
      <c r="V87" s="206">
        <f>V45+V67+V81</f>
        <v>25352300</v>
      </c>
      <c r="W87" s="206"/>
      <c r="X87" s="206"/>
      <c r="Y87" s="206">
        <f>Y45+Y67+Y81</f>
        <v>24249200</v>
      </c>
      <c r="Z87" s="206"/>
      <c r="AA87" s="206"/>
      <c r="AB87" s="206"/>
      <c r="AC87" s="206"/>
      <c r="AD87" s="206">
        <f t="shared" ref="AD87:AO87" si="65">AD45+AD67+AD81</f>
        <v>3710522</v>
      </c>
      <c r="AE87" s="206">
        <f t="shared" si="65"/>
        <v>12204000</v>
      </c>
      <c r="AF87" s="206">
        <f t="shared" si="65"/>
        <v>14205701</v>
      </c>
      <c r="AG87" s="206">
        <f t="shared" si="65"/>
        <v>4501000</v>
      </c>
      <c r="AH87" s="206">
        <f t="shared" si="65"/>
        <v>46725000</v>
      </c>
      <c r="AI87" s="206">
        <f t="shared" si="65"/>
        <v>17787869</v>
      </c>
      <c r="AJ87" s="206">
        <f t="shared" si="65"/>
        <v>14882914</v>
      </c>
      <c r="AK87" s="206">
        <f t="shared" si="65"/>
        <v>5818300</v>
      </c>
      <c r="AL87" s="206">
        <f t="shared" si="65"/>
        <v>49243718</v>
      </c>
      <c r="AM87" s="206">
        <f t="shared" si="65"/>
        <v>19534000</v>
      </c>
      <c r="AN87" s="206">
        <f t="shared" si="65"/>
        <v>5454200</v>
      </c>
      <c r="AO87" s="206">
        <f t="shared" si="65"/>
        <v>18795000</v>
      </c>
    </row>
    <row r="88" spans="1:41" hidden="1">
      <c r="A88" s="189" t="s">
        <v>60</v>
      </c>
      <c r="H88" s="206">
        <f>H18+H32+H33+H37+H54+H55+H56+H65+H66</f>
        <v>601453</v>
      </c>
      <c r="I88" s="206">
        <f>I18+I32+I33+I37+I54+I55+I56+I65+I66</f>
        <v>770705.8</v>
      </c>
      <c r="J88" s="206">
        <f>J18+J32+J33+J37+J54+J55+J56+J65+J66</f>
        <v>688970</v>
      </c>
      <c r="K88" s="206">
        <f>K18+K32+K33+K37+K54+K55+K56+K65+K66</f>
        <v>535811</v>
      </c>
      <c r="L88" s="206">
        <f>L18+L32+L33+L37+L54+L55+L56+L65+L66+L21+L73+L24</f>
        <v>1037630793.11</v>
      </c>
      <c r="M88" s="206">
        <f>M18+M32+M33+M37+M54+M55+M56+M65+M66+M21+M73+M24</f>
        <v>998494982.11000001</v>
      </c>
      <c r="N88" s="206">
        <f>N18+N32+N33+N37+N54+N55+N56+N65+N66+N21+N73+N24</f>
        <v>408610</v>
      </c>
      <c r="O88" s="206">
        <f>O18+O32+O33+O37+O54+O55+O56+O65+O66+O21+O73+O24</f>
        <v>0</v>
      </c>
      <c r="P88" s="206">
        <f>P16+P17+P22+P24+P32+P33+P37+P44+P54+P55+P56+P66+P65+P73+P74+P82+P23</f>
        <v>0</v>
      </c>
      <c r="Q88" s="206">
        <f>Q16+Q17+Q22+Q24+Q32+Q33+Q37+Q44+Q54+Q55+Q56+Q66+Q65+Q73+Q74+Q82+Q23</f>
        <v>1063656000.7199999</v>
      </c>
      <c r="R88" s="206">
        <f>R16+R17+R22+R24+R32+R33+R37+R44+R54+R55+R56+R66+R65+R73+R74+R82+R23</f>
        <v>869640858</v>
      </c>
      <c r="S88" s="206">
        <f>S16+S17+S22+S24+S32+S33+S37+S44+S54+S55+S56+S66+S65+S73+S74+S82+S23</f>
        <v>1006693083.1800001</v>
      </c>
      <c r="T88" s="206">
        <f>T16+T17+T22+T24+T32+T33+T37+T44+T54+T55+T56+T66+T65+T73+T74+T80+T23+T72</f>
        <v>1164628850.96</v>
      </c>
      <c r="U88" s="206">
        <f>U16+U17+U22+U24+U32+U33+U37+U44+U54+U55+U56+U66+U65+U73+U74+U80+U23+U72</f>
        <v>1129403808.21</v>
      </c>
      <c r="V88" s="206">
        <f>V16+V17+V22+V24+V32+V33+V37+V44+V54+V55+V56+V66+V65+V73+V74+V80+V23+V72</f>
        <v>1039272000</v>
      </c>
      <c r="W88" s="206"/>
      <c r="X88" s="206"/>
      <c r="Y88" s="206">
        <f>Y16+Y17+Y22+Y24+Y32+Y33+Y37+Y44+Y54+Y55+Y56+Y66+Y65+Y73+Y74+Y80+Y23+Y72</f>
        <v>1055341000</v>
      </c>
      <c r="Z88" s="206"/>
      <c r="AA88" s="206"/>
      <c r="AB88" s="206"/>
      <c r="AC88" s="206"/>
      <c r="AD88" s="206">
        <f t="shared" ref="AD88:AO88" si="66">AD16+AD17+AD22+AD24+AD32+AD33+AD37+AD44+AD54+AD55+AD56+AD66+AD65+AD73+AD74+AD80+AD23+AD72</f>
        <v>77542783.530000001</v>
      </c>
      <c r="AE88" s="206">
        <f t="shared" si="66"/>
        <v>962113217.19000006</v>
      </c>
      <c r="AF88" s="206">
        <f t="shared" si="66"/>
        <v>102940741.41</v>
      </c>
      <c r="AG88" s="206">
        <f t="shared" si="66"/>
        <v>163806932.72</v>
      </c>
      <c r="AH88" s="206">
        <f t="shared" si="66"/>
        <v>903752341.76999998</v>
      </c>
      <c r="AI88" s="206">
        <f t="shared" si="66"/>
        <v>978247635.08000004</v>
      </c>
      <c r="AJ88" s="206">
        <f t="shared" si="66"/>
        <v>74131605</v>
      </c>
      <c r="AK88" s="206">
        <f t="shared" si="66"/>
        <v>73300000</v>
      </c>
      <c r="AL88" s="206">
        <f t="shared" si="66"/>
        <v>1055272203.21</v>
      </c>
      <c r="AM88" s="206">
        <f t="shared" si="66"/>
        <v>965972000</v>
      </c>
      <c r="AN88" s="206">
        <f t="shared" si="66"/>
        <v>70096000</v>
      </c>
      <c r="AO88" s="206">
        <f t="shared" si="66"/>
        <v>985245000</v>
      </c>
    </row>
    <row r="89" spans="1:41" hidden="1">
      <c r="A89" s="189" t="s">
        <v>64</v>
      </c>
      <c r="H89" s="206">
        <f>H27+H69+H74</f>
        <v>110</v>
      </c>
      <c r="I89" s="206">
        <f>I27+I69+I74</f>
        <v>4134.2</v>
      </c>
      <c r="J89" s="206">
        <f>J27+J69+J74</f>
        <v>110</v>
      </c>
      <c r="K89" s="206">
        <f>K27+K69+K74</f>
        <v>1111</v>
      </c>
      <c r="L89" s="206">
        <f>L27+L69+L47</f>
        <v>18685426.879999999</v>
      </c>
      <c r="M89" s="206">
        <f>M27+M69+M47</f>
        <v>18685315.879999999</v>
      </c>
      <c r="N89" s="206">
        <f>N27+N69+N47</f>
        <v>111</v>
      </c>
      <c r="O89" s="206">
        <f>O27+O69+O47</f>
        <v>0</v>
      </c>
      <c r="P89" s="206">
        <f>P27+P46+P47+P69+P12+P51+P42+P43+P20</f>
        <v>0</v>
      </c>
      <c r="Q89" s="206">
        <f>Q27+Q46+Q47+Q69+Q12+Q51+Q42+Q43+Q20</f>
        <v>37177587.879999995</v>
      </c>
      <c r="R89" s="206">
        <f>R27+R46+R47+R69+R12+R51+R42+R43+R20</f>
        <v>80995</v>
      </c>
      <c r="S89" s="206">
        <f>S27+S46+S47+S69+S12+S51+S42+S43+S20</f>
        <v>10201991</v>
      </c>
      <c r="T89" s="206">
        <f>T27+T46+T47+T69+T12+T51+T42+T43+T20+T49+T82</f>
        <v>8673622</v>
      </c>
      <c r="U89" s="206">
        <f>U27+U46+U47+U69+U12+U51+U42+U43+U20+U49+U82</f>
        <v>185599</v>
      </c>
      <c r="V89" s="206">
        <f>V27+V46+V47+V69+V12+V51+V42+V43+V20+V49+V82</f>
        <v>4163348</v>
      </c>
      <c r="W89" s="206"/>
      <c r="X89" s="206"/>
      <c r="Y89" s="206">
        <f>Y27+Y46+Y47+Y69+Y12+Y51+Y42+Y43+Y20+Y49+Y82</f>
        <v>67398472</v>
      </c>
      <c r="Z89" s="206"/>
      <c r="AA89" s="206"/>
      <c r="AB89" s="206"/>
      <c r="AC89" s="206"/>
      <c r="AD89" s="206">
        <f t="shared" ref="AD89:AO89" si="67">AD27+AD46+AD47+AD69+AD12+AD51+AD42+AD43+AD20+AD49+AD82</f>
        <v>16718335</v>
      </c>
      <c r="AE89" s="206">
        <f t="shared" si="67"/>
        <v>20459252.879999999</v>
      </c>
      <c r="AF89" s="206">
        <f t="shared" si="67"/>
        <v>59209</v>
      </c>
      <c r="AG89" s="206">
        <f t="shared" si="67"/>
        <v>45272</v>
      </c>
      <c r="AH89" s="206">
        <f t="shared" si="67"/>
        <v>10142782</v>
      </c>
      <c r="AI89" s="206">
        <f t="shared" si="67"/>
        <v>693350</v>
      </c>
      <c r="AJ89" s="206">
        <f t="shared" si="67"/>
        <v>62063</v>
      </c>
      <c r="AK89" s="206">
        <f t="shared" si="67"/>
        <v>47759</v>
      </c>
      <c r="AL89" s="206">
        <f t="shared" si="67"/>
        <v>123536</v>
      </c>
      <c r="AM89" s="206">
        <f t="shared" si="67"/>
        <v>4115589</v>
      </c>
      <c r="AN89" s="206">
        <f t="shared" si="67"/>
        <v>49046975</v>
      </c>
      <c r="AO89" s="206">
        <f t="shared" si="67"/>
        <v>18351497</v>
      </c>
    </row>
    <row r="90" spans="1:41" hidden="1">
      <c r="A90" s="189" t="s">
        <v>62</v>
      </c>
      <c r="H90" s="206">
        <f>H14+H29+H19+H63+H64</f>
        <v>1286</v>
      </c>
      <c r="I90" s="206">
        <f>I14+I29+I19+I63+I64</f>
        <v>42332</v>
      </c>
      <c r="J90" s="206">
        <f t="shared" ref="J90:S90" si="68">J9+J14+J15+J19+J29+J34+J36+J48+J59+J63+J79+J64+J50+J49+J35</f>
        <v>1286</v>
      </c>
      <c r="K90" s="206">
        <f t="shared" si="68"/>
        <v>2581</v>
      </c>
      <c r="L90" s="206">
        <f t="shared" si="68"/>
        <v>77733000.409999996</v>
      </c>
      <c r="M90" s="206">
        <f t="shared" si="68"/>
        <v>77730419.409999996</v>
      </c>
      <c r="N90" s="206">
        <f t="shared" si="68"/>
        <v>2649</v>
      </c>
      <c r="O90" s="206">
        <f t="shared" si="68"/>
        <v>0</v>
      </c>
      <c r="P90" s="206">
        <f t="shared" si="68"/>
        <v>0</v>
      </c>
      <c r="Q90" s="206">
        <f t="shared" si="68"/>
        <v>86017376.159999996</v>
      </c>
      <c r="R90" s="206">
        <f t="shared" si="68"/>
        <v>51965387.739999995</v>
      </c>
      <c r="S90" s="206">
        <f t="shared" si="68"/>
        <v>68164415.269999996</v>
      </c>
      <c r="T90" s="206">
        <f>T9+T14+T15+T19+T29+T34+T36+T48+T59+T63+T79+T64+T50+T35+T76</f>
        <v>111170203.44000001</v>
      </c>
      <c r="U90" s="206">
        <f>U9+U14+U15+U19+U29+U34+U36+U48+U59+U63+U79+U64+U50+U35+U76</f>
        <v>61318000</v>
      </c>
      <c r="V90" s="206">
        <f>V9+V14+V15+V19+V29+V34+V36+V48+V59+V63+V79+V64+V50+V35+V76</f>
        <v>62948000</v>
      </c>
      <c r="W90" s="206"/>
      <c r="X90" s="206"/>
      <c r="Y90" s="206">
        <f>Y9+Y14+Y15+Y19+Y29+Y34+Y36+Y48+Y59+Y63+Y79+Y64+Y50+Y35+Y76</f>
        <v>638848100</v>
      </c>
      <c r="Z90" s="206"/>
      <c r="AA90" s="206"/>
      <c r="AB90" s="206"/>
      <c r="AC90" s="206"/>
      <c r="AD90" s="206">
        <f t="shared" ref="AD90:AO90" si="69">AD9+AD14+AD15+AD19+AD29+AD34+AD36+AD48+AD59+AD63+AD79+AD64+AD50+AD35+AD76</f>
        <v>11932448.67</v>
      </c>
      <c r="AE90" s="206">
        <f t="shared" si="69"/>
        <v>66749551.739999995</v>
      </c>
      <c r="AF90" s="206">
        <f t="shared" si="69"/>
        <v>18287591.640000001</v>
      </c>
      <c r="AG90" s="206">
        <f t="shared" si="69"/>
        <v>13208704.34</v>
      </c>
      <c r="AH90" s="206">
        <f t="shared" si="69"/>
        <v>49876823.629999995</v>
      </c>
      <c r="AI90" s="206">
        <f t="shared" si="69"/>
        <v>83453809.400000006</v>
      </c>
      <c r="AJ90" s="206">
        <f t="shared" si="69"/>
        <v>0</v>
      </c>
      <c r="AK90" s="206">
        <f t="shared" si="69"/>
        <v>0</v>
      </c>
      <c r="AL90" s="206">
        <f t="shared" si="69"/>
        <v>61318000</v>
      </c>
      <c r="AM90" s="206">
        <f t="shared" si="69"/>
        <v>62948000</v>
      </c>
      <c r="AN90" s="206">
        <f t="shared" si="69"/>
        <v>484163600</v>
      </c>
      <c r="AO90" s="206">
        <f t="shared" si="69"/>
        <v>154684500</v>
      </c>
    </row>
    <row r="91" spans="1:41" hidden="1"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6"/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</row>
    <row r="92" spans="1:41" hidden="1">
      <c r="H92" s="207">
        <f t="shared" ref="H92:N92" si="70">SUM(H85:H91)</f>
        <v>609278</v>
      </c>
      <c r="I92" s="207">
        <f t="shared" si="70"/>
        <v>836101</v>
      </c>
      <c r="J92" s="207">
        <f t="shared" si="70"/>
        <v>696541</v>
      </c>
      <c r="K92" s="207">
        <f t="shared" si="70"/>
        <v>556714</v>
      </c>
      <c r="L92" s="207">
        <f>SUM(L85:L91)</f>
        <v>1184514357.3000002</v>
      </c>
      <c r="M92" s="207">
        <f t="shared" si="70"/>
        <v>1137894643.3</v>
      </c>
      <c r="N92" s="207">
        <f t="shared" si="70"/>
        <v>417935</v>
      </c>
      <c r="O92" s="207"/>
      <c r="P92" s="207"/>
      <c r="Q92" s="207">
        <f>SUM(Q85:Q91)</f>
        <v>1231683201.6600001</v>
      </c>
      <c r="R92" s="207">
        <f t="shared" ref="R92:AO92" si="71">SUM(R85:R91)</f>
        <v>944357561.78999996</v>
      </c>
      <c r="S92" s="207">
        <f t="shared" si="71"/>
        <v>1151657119.29</v>
      </c>
      <c r="T92" s="207">
        <f t="shared" si="71"/>
        <v>1383852388.4000001</v>
      </c>
      <c r="U92" s="207">
        <f t="shared" si="71"/>
        <v>1261033578.75</v>
      </c>
      <c r="V92" s="207">
        <f t="shared" si="71"/>
        <v>1142472717.51</v>
      </c>
      <c r="W92" s="207"/>
      <c r="X92" s="207"/>
      <c r="Y92" s="207">
        <f t="shared" si="71"/>
        <v>1791392668.05</v>
      </c>
      <c r="Z92" s="207"/>
      <c r="AA92" s="207"/>
      <c r="AB92" s="207"/>
      <c r="AC92" s="207"/>
      <c r="AD92" s="207">
        <f t="shared" si="71"/>
        <v>113174505.81</v>
      </c>
      <c r="AE92" s="207">
        <f t="shared" si="71"/>
        <v>1087173320.0999999</v>
      </c>
      <c r="AF92" s="207">
        <f t="shared" si="71"/>
        <v>137332001.74000001</v>
      </c>
      <c r="AG92" s="207">
        <f t="shared" si="71"/>
        <v>183312426.63</v>
      </c>
      <c r="AH92" s="207">
        <f t="shared" si="71"/>
        <v>1014325117.55</v>
      </c>
      <c r="AI92" s="207">
        <f t="shared" si="71"/>
        <v>1147122988.9100001</v>
      </c>
      <c r="AJ92" s="207">
        <f t="shared" si="71"/>
        <v>91214597.890000001</v>
      </c>
      <c r="AK92" s="207">
        <f t="shared" si="71"/>
        <v>81496739.090000004</v>
      </c>
      <c r="AL92" s="207">
        <f t="shared" si="71"/>
        <v>1169818980.8600001</v>
      </c>
      <c r="AM92" s="207">
        <f t="shared" si="71"/>
        <v>1060975978.42</v>
      </c>
      <c r="AN92" s="207">
        <f t="shared" si="71"/>
        <v>610417687.54999995</v>
      </c>
      <c r="AO92" s="207">
        <f t="shared" si="71"/>
        <v>1180974980.5</v>
      </c>
    </row>
    <row r="93" spans="1:41" hidden="1"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</row>
    <row r="94" spans="1:41" hidden="1"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</row>
    <row r="95" spans="1:41" hidden="1">
      <c r="A95" s="189">
        <v>0</v>
      </c>
      <c r="H95" s="206">
        <f t="shared" ref="H95:N95" si="72">H92-H5</f>
        <v>0</v>
      </c>
      <c r="I95" s="206">
        <f t="shared" si="72"/>
        <v>1</v>
      </c>
      <c r="J95" s="206">
        <f t="shared" si="72"/>
        <v>0</v>
      </c>
      <c r="K95" s="206">
        <f t="shared" si="72"/>
        <v>11000</v>
      </c>
      <c r="L95" s="206">
        <f t="shared" si="72"/>
        <v>-2761904.4199995995</v>
      </c>
      <c r="M95" s="206">
        <f t="shared" si="72"/>
        <v>-1424207.6099998951</v>
      </c>
      <c r="N95" s="206">
        <f t="shared" si="72"/>
        <v>0</v>
      </c>
      <c r="O95" s="206"/>
      <c r="P95" s="206"/>
      <c r="Q95" s="206">
        <f t="shared" ref="Q95:V95" si="73">Q92-Q5</f>
        <v>-23999999.999999762</v>
      </c>
      <c r="R95" s="206">
        <f t="shared" si="73"/>
        <v>-38489000</v>
      </c>
      <c r="S95" s="206">
        <f t="shared" si="73"/>
        <v>0</v>
      </c>
      <c r="T95" s="206">
        <f t="shared" si="73"/>
        <v>-1469045.9999997616</v>
      </c>
      <c r="U95" s="206">
        <f t="shared" si="73"/>
        <v>0</v>
      </c>
      <c r="V95" s="206">
        <f t="shared" si="73"/>
        <v>0</v>
      </c>
      <c r="W95" s="206"/>
      <c r="X95" s="206"/>
      <c r="Y95" s="206">
        <f>Y92-Y5</f>
        <v>0</v>
      </c>
      <c r="Z95" s="206"/>
      <c r="AA95" s="206"/>
      <c r="AB95" s="206"/>
      <c r="AC95" s="206"/>
      <c r="AD95" s="206">
        <f t="shared" ref="AD95:AO95" si="74">AD92-AD5</f>
        <v>0</v>
      </c>
      <c r="AE95" s="206">
        <f t="shared" si="74"/>
        <v>0</v>
      </c>
      <c r="AF95" s="206">
        <f t="shared" si="74"/>
        <v>0</v>
      </c>
      <c r="AG95" s="206">
        <f t="shared" si="74"/>
        <v>0</v>
      </c>
      <c r="AH95" s="206">
        <f t="shared" si="74"/>
        <v>0</v>
      </c>
      <c r="AI95" s="206">
        <f t="shared" si="74"/>
        <v>0</v>
      </c>
      <c r="AJ95" s="206">
        <f t="shared" si="74"/>
        <v>0</v>
      </c>
      <c r="AK95" s="206">
        <f t="shared" si="74"/>
        <v>0</v>
      </c>
      <c r="AL95" s="206">
        <f t="shared" si="74"/>
        <v>0</v>
      </c>
      <c r="AM95" s="206">
        <f t="shared" si="74"/>
        <v>0</v>
      </c>
      <c r="AN95" s="206">
        <f t="shared" si="74"/>
        <v>0</v>
      </c>
      <c r="AO95" s="206">
        <f t="shared" si="74"/>
        <v>0</v>
      </c>
    </row>
    <row r="96" spans="1:41" hidden="1"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</row>
    <row r="97" spans="12:41" hidden="1">
      <c r="L97" s="116"/>
      <c r="M97" s="116"/>
      <c r="N97" s="116"/>
      <c r="O97" s="116"/>
      <c r="P97" s="116"/>
      <c r="Q97" s="116">
        <f t="shared" ref="Q97:R97" si="75">SUM(Q85:Q90)</f>
        <v>1231683201.6600001</v>
      </c>
      <c r="R97" s="116">
        <f t="shared" si="75"/>
        <v>944357561.78999996</v>
      </c>
      <c r="S97" s="116">
        <f>SUM(S85:S90)</f>
        <v>1151657119.29</v>
      </c>
      <c r="T97" s="116">
        <f>SUM(T85:T90)</f>
        <v>1383852388.4000001</v>
      </c>
      <c r="U97" s="116">
        <f t="shared" ref="U97:AO97" si="76">SUM(U85:U90)</f>
        <v>1261033578.75</v>
      </c>
      <c r="V97" s="116">
        <f t="shared" si="76"/>
        <v>1142472717.51</v>
      </c>
      <c r="W97" s="116"/>
      <c r="X97" s="116"/>
      <c r="Y97" s="116">
        <f t="shared" si="76"/>
        <v>1791392668.05</v>
      </c>
      <c r="Z97" s="116"/>
      <c r="AA97" s="116"/>
      <c r="AB97" s="116"/>
      <c r="AC97" s="116"/>
      <c r="AD97" s="116">
        <f t="shared" si="76"/>
        <v>113174505.81</v>
      </c>
      <c r="AE97" s="116">
        <f t="shared" si="76"/>
        <v>1087173320.0999999</v>
      </c>
      <c r="AF97" s="116">
        <f t="shared" si="76"/>
        <v>137332001.74000001</v>
      </c>
      <c r="AG97" s="116">
        <f t="shared" si="76"/>
        <v>183312426.63</v>
      </c>
      <c r="AH97" s="116">
        <f t="shared" si="76"/>
        <v>1014325117.55</v>
      </c>
      <c r="AI97" s="116">
        <f t="shared" si="76"/>
        <v>1147122988.9100001</v>
      </c>
      <c r="AJ97" s="116">
        <f t="shared" si="76"/>
        <v>91214597.890000001</v>
      </c>
      <c r="AK97" s="116">
        <f t="shared" si="76"/>
        <v>81496739.090000004</v>
      </c>
      <c r="AL97" s="116">
        <f t="shared" si="76"/>
        <v>1169818980.8600001</v>
      </c>
      <c r="AM97" s="116">
        <f t="shared" si="76"/>
        <v>1060975978.42</v>
      </c>
      <c r="AN97" s="116">
        <f t="shared" si="76"/>
        <v>610417687.54999995</v>
      </c>
      <c r="AO97" s="116">
        <f t="shared" si="76"/>
        <v>1180974980.5</v>
      </c>
    </row>
    <row r="98" spans="12:41" hidden="1">
      <c r="L98" s="116"/>
      <c r="M98" s="116"/>
      <c r="N98" s="116"/>
      <c r="O98" s="116"/>
      <c r="P98" s="116"/>
      <c r="Q98" s="116">
        <f>Q97-Q5</f>
        <v>-23999999.999999762</v>
      </c>
      <c r="R98" s="116">
        <f>R97-R5</f>
        <v>-38489000</v>
      </c>
      <c r="S98" s="116">
        <f>S97-S5</f>
        <v>0</v>
      </c>
      <c r="T98" s="116">
        <f>T97-T6</f>
        <v>51947926.860000134</v>
      </c>
      <c r="U98" s="116">
        <f>U97-U6</f>
        <v>0</v>
      </c>
      <c r="V98" s="116">
        <f>V97-V6</f>
        <v>0</v>
      </c>
      <c r="W98" s="116"/>
      <c r="X98" s="116"/>
      <c r="Y98" s="116">
        <f>Y97-Y6</f>
        <v>0</v>
      </c>
      <c r="Z98" s="116"/>
      <c r="AA98" s="116"/>
      <c r="AB98" s="116"/>
      <c r="AC98" s="116"/>
      <c r="AD98" s="116">
        <f t="shared" ref="AD98:AO98" si="77">AD97-AD6</f>
        <v>0</v>
      </c>
      <c r="AE98" s="116">
        <f t="shared" si="77"/>
        <v>0</v>
      </c>
      <c r="AF98" s="116">
        <f t="shared" si="77"/>
        <v>0</v>
      </c>
      <c r="AG98" s="116">
        <f t="shared" si="77"/>
        <v>0</v>
      </c>
      <c r="AH98" s="116">
        <f t="shared" si="77"/>
        <v>0</v>
      </c>
      <c r="AI98" s="116">
        <f t="shared" si="77"/>
        <v>0</v>
      </c>
      <c r="AJ98" s="116">
        <f t="shared" si="77"/>
        <v>0</v>
      </c>
      <c r="AK98" s="116">
        <f t="shared" si="77"/>
        <v>0</v>
      </c>
      <c r="AL98" s="116">
        <f t="shared" si="77"/>
        <v>0</v>
      </c>
      <c r="AM98" s="116">
        <f t="shared" si="77"/>
        <v>0</v>
      </c>
      <c r="AN98" s="116">
        <f t="shared" si="77"/>
        <v>0</v>
      </c>
      <c r="AO98" s="116">
        <f t="shared" si="77"/>
        <v>0</v>
      </c>
    </row>
    <row r="99" spans="12:41" hidden="1"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</row>
    <row r="100" spans="12:41" hidden="1"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</row>
    <row r="101" spans="12:41"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</row>
    <row r="102" spans="12:41"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</row>
    <row r="103" spans="12:41"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</row>
    <row r="115" spans="20:24">
      <c r="T115" s="116"/>
      <c r="U115" s="116"/>
      <c r="V115" s="116"/>
      <c r="W115" s="116"/>
      <c r="X115" s="116"/>
    </row>
  </sheetData>
  <autoFilter ref="A4:AQ90">
    <filterColumn colId="22"/>
    <filterColumn colId="23"/>
    <filterColumn colId="25"/>
    <filterColumn colId="26"/>
    <filterColumn colId="27"/>
  </autoFilter>
  <mergeCells count="3">
    <mergeCell ref="A1:S1"/>
    <mergeCell ref="A2:S2"/>
    <mergeCell ref="A3:S3"/>
  </mergeCells>
  <pageMargins left="0" right="0" top="0" bottom="0" header="0.31496062992125984" footer="0.31496062992125984"/>
  <pageSetup paperSize="9" scale="65" fitToHeight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</sheetPr>
  <dimension ref="A1:AQ115"/>
  <sheetViews>
    <sheetView zoomScaleNormal="100" workbookViewId="0">
      <pane xSplit="7" ySplit="4" topLeftCell="T5" activePane="bottomRight" state="frozen"/>
      <selection pane="topRight" activeCell="H1" sqref="H1"/>
      <selection pane="bottomLeft" activeCell="A5" sqref="A5"/>
      <selection pane="bottomRight" activeCell="AT8" sqref="AT8"/>
    </sheetView>
  </sheetViews>
  <sheetFormatPr defaultColWidth="8.85546875" defaultRowHeight="15"/>
  <cols>
    <col min="1" max="1" width="21.5703125" style="189" customWidth="1"/>
    <col min="2" max="2" width="56.42578125" style="189" customWidth="1"/>
    <col min="3" max="3" width="17.85546875" style="189" hidden="1" customWidth="1"/>
    <col min="4" max="4" width="16.140625" style="189" hidden="1" customWidth="1"/>
    <col min="5" max="5" width="18.5703125" style="189" hidden="1" customWidth="1"/>
    <col min="6" max="6" width="11.7109375" style="189" hidden="1" customWidth="1"/>
    <col min="7" max="7" width="11" style="189" hidden="1" customWidth="1"/>
    <col min="8" max="10" width="14.28515625" style="189" hidden="1" customWidth="1"/>
    <col min="11" max="11" width="13.7109375" style="189" hidden="1" customWidth="1"/>
    <col min="12" max="15" width="14.85546875" style="189" hidden="1" customWidth="1"/>
    <col min="16" max="16" width="0.140625" style="189" hidden="1" customWidth="1"/>
    <col min="17" max="18" width="14.85546875" style="189" hidden="1" customWidth="1"/>
    <col min="19" max="19" width="15.140625" style="189" hidden="1" customWidth="1"/>
    <col min="20" max="20" width="15.140625" style="189" customWidth="1"/>
    <col min="21" max="21" width="13.5703125" style="189" hidden="1" customWidth="1"/>
    <col min="22" max="24" width="15.140625" style="189" customWidth="1"/>
    <col min="25" max="27" width="15.42578125" style="189" customWidth="1"/>
    <col min="28" max="28" width="15.140625" style="189" customWidth="1"/>
    <col min="29" max="29" width="7.28515625" style="189" hidden="1" customWidth="1"/>
    <col min="30" max="30" width="14.42578125" style="189" hidden="1" customWidth="1"/>
    <col min="31" max="31" width="15.7109375" style="189" hidden="1" customWidth="1"/>
    <col min="32" max="33" width="13.28515625" style="189" hidden="1" customWidth="1"/>
    <col min="34" max="35" width="14.7109375" style="189" hidden="1" customWidth="1"/>
    <col min="36" max="36" width="13.7109375" style="189" hidden="1" customWidth="1"/>
    <col min="37" max="37" width="12.28515625" style="189" hidden="1" customWidth="1"/>
    <col min="38" max="38" width="15.28515625" style="189" hidden="1" customWidth="1"/>
    <col min="39" max="39" width="16" style="189" hidden="1" customWidth="1"/>
    <col min="40" max="40" width="13.5703125" style="189" hidden="1" customWidth="1"/>
    <col min="41" max="41" width="15.7109375" style="189" hidden="1" customWidth="1"/>
    <col min="42" max="42" width="7.85546875" style="189" customWidth="1"/>
    <col min="43" max="43" width="11.28515625" style="189" customWidth="1"/>
    <col min="44" max="16384" width="8.85546875" style="189"/>
  </cols>
  <sheetData>
    <row r="1" spans="1:41" ht="12" customHeight="1">
      <c r="A1" s="404" t="s">
        <v>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382"/>
      <c r="U1" s="382"/>
      <c r="V1" s="382"/>
      <c r="W1" s="382"/>
      <c r="X1" s="382"/>
      <c r="Y1" s="382"/>
      <c r="Z1" s="382"/>
      <c r="AA1" s="382"/>
      <c r="AB1" s="382"/>
    </row>
    <row r="2" spans="1:41" ht="12" customHeight="1">
      <c r="A2" s="404" t="s">
        <v>1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382"/>
      <c r="U2" s="382"/>
      <c r="V2" s="382"/>
      <c r="W2" s="382"/>
      <c r="X2" s="382"/>
      <c r="Y2" s="382"/>
      <c r="Z2" s="382"/>
      <c r="AA2" s="382"/>
      <c r="AB2" s="382"/>
    </row>
    <row r="3" spans="1:41" ht="12" customHeight="1">
      <c r="A3" s="405" t="s">
        <v>210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243"/>
      <c r="U3" s="383"/>
      <c r="V3" s="243"/>
      <c r="W3" s="243"/>
      <c r="X3" s="243"/>
      <c r="Y3" s="383"/>
      <c r="Z3" s="383"/>
      <c r="AA3" s="383"/>
      <c r="AB3" s="383"/>
      <c r="AC3" s="199" t="s">
        <v>135</v>
      </c>
      <c r="AO3" s="189" t="s">
        <v>205</v>
      </c>
    </row>
    <row r="4" spans="1:41" ht="53.25" customHeight="1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H4" s="126">
        <v>2020</v>
      </c>
      <c r="I4" s="200">
        <v>2020</v>
      </c>
      <c r="J4" s="126">
        <v>2021</v>
      </c>
      <c r="K4" s="126">
        <v>2021</v>
      </c>
      <c r="L4" s="190">
        <v>2022</v>
      </c>
      <c r="M4" s="190" t="s">
        <v>117</v>
      </c>
      <c r="N4" s="190">
        <v>2022</v>
      </c>
      <c r="O4" s="190"/>
      <c r="P4" s="190"/>
      <c r="Q4" s="242">
        <v>2023</v>
      </c>
      <c r="R4" s="191" t="s">
        <v>180</v>
      </c>
      <c r="S4" s="241">
        <v>2024</v>
      </c>
      <c r="T4" s="191">
        <v>2024</v>
      </c>
      <c r="U4" s="241">
        <v>2025</v>
      </c>
      <c r="V4" s="191">
        <v>2025</v>
      </c>
      <c r="W4" s="379" t="s">
        <v>206</v>
      </c>
      <c r="X4" s="379" t="s">
        <v>209</v>
      </c>
      <c r="Y4" s="380">
        <v>2026</v>
      </c>
      <c r="Z4" s="379" t="s">
        <v>207</v>
      </c>
      <c r="AA4" s="379" t="s">
        <v>209</v>
      </c>
      <c r="AB4" s="381" t="s">
        <v>208</v>
      </c>
      <c r="AC4" s="199"/>
      <c r="AD4" s="192" t="s">
        <v>121</v>
      </c>
      <c r="AE4" s="193" t="s">
        <v>122</v>
      </c>
      <c r="AF4" s="192" t="s">
        <v>129</v>
      </c>
      <c r="AG4" s="192" t="s">
        <v>198</v>
      </c>
      <c r="AH4" s="193" t="s">
        <v>130</v>
      </c>
      <c r="AI4" s="193" t="s">
        <v>199</v>
      </c>
      <c r="AJ4" s="192" t="s">
        <v>159</v>
      </c>
      <c r="AK4" s="192" t="s">
        <v>159</v>
      </c>
      <c r="AL4" s="193" t="s">
        <v>158</v>
      </c>
      <c r="AM4" s="193" t="s">
        <v>200</v>
      </c>
      <c r="AN4" s="193" t="s">
        <v>201</v>
      </c>
      <c r="AO4" s="193" t="s">
        <v>202</v>
      </c>
    </row>
    <row r="5" spans="1:41">
      <c r="A5" s="171" t="s">
        <v>57</v>
      </c>
      <c r="B5" s="113" t="s">
        <v>58</v>
      </c>
      <c r="C5" s="16">
        <f t="shared" ref="C5:K5" si="0">C6-C82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25">
        <f>L6+L82</f>
        <v>1187276261.7199998</v>
      </c>
      <c r="M5" s="25">
        <f>M6-M82</f>
        <v>1139318850.9099998</v>
      </c>
      <c r="N5" s="25">
        <f>N6-N82</f>
        <v>417935</v>
      </c>
      <c r="O5" s="25"/>
      <c r="P5" s="25"/>
      <c r="Q5" s="25">
        <f t="shared" ref="Q5:W5" si="1">Q6+Q78</f>
        <v>1255683201.6599998</v>
      </c>
      <c r="R5" s="25">
        <f t="shared" si="1"/>
        <v>982846561.78999996</v>
      </c>
      <c r="S5" s="25">
        <f t="shared" si="1"/>
        <v>1151657119.29</v>
      </c>
      <c r="T5" s="25">
        <f t="shared" si="1"/>
        <v>1385321434.3999999</v>
      </c>
      <c r="U5" s="25">
        <f t="shared" si="1"/>
        <v>1261033578.75</v>
      </c>
      <c r="V5" s="25">
        <f t="shared" si="1"/>
        <v>1142472717.51</v>
      </c>
      <c r="W5" s="25">
        <f t="shared" si="1"/>
        <v>1753773429.0699999</v>
      </c>
      <c r="X5" s="25">
        <f>W5-V5</f>
        <v>611300711.55999994</v>
      </c>
      <c r="Y5" s="25">
        <f>Y6+Y78</f>
        <v>1791392668.05</v>
      </c>
      <c r="Z5" s="25">
        <f>Z6+Z78</f>
        <v>1380136990.0899999</v>
      </c>
      <c r="AA5" s="25">
        <f>Z5-Y5</f>
        <v>-411255677.96000004</v>
      </c>
      <c r="AB5" s="25">
        <f>AB6+AB78</f>
        <v>1291000593.96</v>
      </c>
      <c r="AC5" s="25"/>
      <c r="AD5" s="25">
        <f t="shared" ref="AD5:AO5" si="2">AD6+AD78</f>
        <v>113174505.81</v>
      </c>
      <c r="AE5" s="25">
        <f t="shared" si="2"/>
        <v>1087173320.1000001</v>
      </c>
      <c r="AF5" s="25">
        <f t="shared" si="2"/>
        <v>137332001.74000001</v>
      </c>
      <c r="AG5" s="25">
        <f t="shared" si="2"/>
        <v>183312426.63</v>
      </c>
      <c r="AH5" s="25">
        <f t="shared" si="2"/>
        <v>1014325117.55</v>
      </c>
      <c r="AI5" s="25">
        <f t="shared" si="2"/>
        <v>1147122988.9100001</v>
      </c>
      <c r="AJ5" s="25">
        <f t="shared" si="2"/>
        <v>91214597.890000001</v>
      </c>
      <c r="AK5" s="25">
        <f t="shared" si="2"/>
        <v>81496739.090000004</v>
      </c>
      <c r="AL5" s="25">
        <f t="shared" si="2"/>
        <v>1169818980.8599999</v>
      </c>
      <c r="AM5" s="25">
        <f t="shared" si="2"/>
        <v>1060975978.42</v>
      </c>
      <c r="AN5" s="25">
        <f t="shared" si="2"/>
        <v>610417687.54999995</v>
      </c>
      <c r="AO5" s="25">
        <f t="shared" si="2"/>
        <v>1180974980.5</v>
      </c>
    </row>
    <row r="6" spans="1:41" ht="24">
      <c r="A6" s="171" t="s">
        <v>22</v>
      </c>
      <c r="B6" s="165" t="s">
        <v>23</v>
      </c>
      <c r="C6" s="16">
        <f>C13+C52+C75+C7+C82</f>
        <v>864721.7</v>
      </c>
      <c r="D6" s="16">
        <f>D13+D52+D75+D7+D82</f>
        <v>360</v>
      </c>
      <c r="E6" s="16">
        <f>E13+E52+E75+E7+E82</f>
        <v>864721718.66999996</v>
      </c>
      <c r="F6" s="16">
        <f>F13+F52+F75+F7+F82</f>
        <v>832206.21461999987</v>
      </c>
      <c r="G6" s="16">
        <f>G13+G52+G75+G7+G82</f>
        <v>0.11462000000285499</v>
      </c>
      <c r="H6" s="16">
        <f>H13+H52+H75+H7+H82+H74</f>
        <v>609278</v>
      </c>
      <c r="I6" s="16">
        <f>I13+I52+I75+I7+I82+I74</f>
        <v>836100</v>
      </c>
      <c r="J6" s="16">
        <f>J13+J52+J75+J7+J82+J74</f>
        <v>696541</v>
      </c>
      <c r="K6" s="130">
        <f>K52</f>
        <v>545714</v>
      </c>
      <c r="L6" s="25">
        <f>L13+L52+L75+L7+L74+L71</f>
        <v>1187152261.7199998</v>
      </c>
      <c r="M6" s="25">
        <f>M13+M52+M75+M7+M82+M74+M71</f>
        <v>1139318850.9099998</v>
      </c>
      <c r="N6" s="25">
        <f>N13+N52+N75+N7+N82+N74+N71</f>
        <v>417935</v>
      </c>
      <c r="O6" s="25"/>
      <c r="P6" s="25"/>
      <c r="Q6" s="25">
        <f t="shared" ref="Q6:W6" si="3">Q7+Q13+Q52+Q71</f>
        <v>1200347825.9099998</v>
      </c>
      <c r="R6" s="25">
        <f t="shared" si="3"/>
        <v>982846561.78999996</v>
      </c>
      <c r="S6" s="25">
        <f t="shared" si="3"/>
        <v>1151657119.29</v>
      </c>
      <c r="T6" s="25">
        <f t="shared" si="3"/>
        <v>1331904461.54</v>
      </c>
      <c r="U6" s="25">
        <f t="shared" si="3"/>
        <v>1261033578.75</v>
      </c>
      <c r="V6" s="25">
        <f t="shared" si="3"/>
        <v>1142472717.51</v>
      </c>
      <c r="W6" s="25">
        <f t="shared" si="3"/>
        <v>1753773429.0699999</v>
      </c>
      <c r="X6" s="25">
        <f t="shared" ref="X6:X71" si="4">W6-V6</f>
        <v>611300711.55999994</v>
      </c>
      <c r="Y6" s="25">
        <f>Y7+Y13+Y52+Y71</f>
        <v>1791392668.05</v>
      </c>
      <c r="Z6" s="25">
        <f>Z7+Z13+Z52+Z71</f>
        <v>1380136990.0899999</v>
      </c>
      <c r="AA6" s="25">
        <f t="shared" ref="AA6:AA71" si="5">Z6-Y6</f>
        <v>-411255677.96000004</v>
      </c>
      <c r="AB6" s="25">
        <f>AB7+AB13+AB52+AB71</f>
        <v>1291000593.96</v>
      </c>
      <c r="AC6" s="25"/>
      <c r="AD6" s="25">
        <f t="shared" ref="AD6:AO6" si="6">AD7+AD13+AD52+AD71</f>
        <v>113174505.81</v>
      </c>
      <c r="AE6" s="25">
        <f t="shared" si="6"/>
        <v>1087173320.1000001</v>
      </c>
      <c r="AF6" s="25">
        <f t="shared" si="6"/>
        <v>137332001.74000001</v>
      </c>
      <c r="AG6" s="25">
        <f t="shared" si="6"/>
        <v>183312426.63</v>
      </c>
      <c r="AH6" s="25">
        <f t="shared" si="6"/>
        <v>1014325117.55</v>
      </c>
      <c r="AI6" s="25">
        <f t="shared" si="6"/>
        <v>1147122988.9100001</v>
      </c>
      <c r="AJ6" s="25">
        <f t="shared" si="6"/>
        <v>91214597.890000001</v>
      </c>
      <c r="AK6" s="25">
        <f t="shared" si="6"/>
        <v>81496739.090000004</v>
      </c>
      <c r="AL6" s="25">
        <f t="shared" si="6"/>
        <v>1169818980.8599999</v>
      </c>
      <c r="AM6" s="25">
        <f t="shared" si="6"/>
        <v>1060975978.42</v>
      </c>
      <c r="AN6" s="25">
        <f t="shared" si="6"/>
        <v>610417687.54999995</v>
      </c>
      <c r="AO6" s="25">
        <f t="shared" si="6"/>
        <v>1180974980.5</v>
      </c>
    </row>
    <row r="7" spans="1:41">
      <c r="A7" s="216" t="s">
        <v>36</v>
      </c>
      <c r="B7" s="217" t="s">
        <v>26</v>
      </c>
      <c r="C7" s="15">
        <f>C11</f>
        <v>34649</v>
      </c>
      <c r="D7" s="15">
        <f>D11</f>
        <v>0</v>
      </c>
      <c r="E7" s="15">
        <f>E11</f>
        <v>34649000</v>
      </c>
      <c r="F7" s="15">
        <f>F11</f>
        <v>34649</v>
      </c>
      <c r="G7" s="15">
        <f>G11</f>
        <v>0</v>
      </c>
      <c r="H7" s="15">
        <f>H11+H10</f>
        <v>1186</v>
      </c>
      <c r="I7" s="15">
        <f>I11+I10</f>
        <v>1823</v>
      </c>
      <c r="J7" s="15">
        <f>J11+J10</f>
        <v>0</v>
      </c>
      <c r="K7" s="218">
        <f>K11+K10</f>
        <v>0</v>
      </c>
      <c r="L7" s="219">
        <f t="shared" ref="L7" si="7">AD7+AE7</f>
        <v>28719000</v>
      </c>
      <c r="M7" s="24">
        <f>M10+M11</f>
        <v>21255000</v>
      </c>
      <c r="N7" s="24">
        <f>N10+N11</f>
        <v>0</v>
      </c>
      <c r="O7" s="24"/>
      <c r="P7" s="24"/>
      <c r="Q7" s="24">
        <f>SUM(Q9:Q12)</f>
        <v>28719000</v>
      </c>
      <c r="R7" s="24">
        <f>SUM(R9:R11)</f>
        <v>0</v>
      </c>
      <c r="S7" s="24">
        <f>SUM(S9:S11)</f>
        <v>0</v>
      </c>
      <c r="T7" s="24">
        <f>SUM(T8:T11)</f>
        <v>65307000</v>
      </c>
      <c r="U7" s="24">
        <f t="shared" ref="U7:AB7" si="8">SUM(U8:U11)</f>
        <v>0</v>
      </c>
      <c r="V7" s="24">
        <f t="shared" si="8"/>
        <v>4387000</v>
      </c>
      <c r="W7" s="24">
        <f t="shared" si="8"/>
        <v>323290000</v>
      </c>
      <c r="X7" s="25">
        <f t="shared" si="4"/>
        <v>318903000</v>
      </c>
      <c r="Y7" s="24">
        <f t="shared" si="8"/>
        <v>0</v>
      </c>
      <c r="Z7" s="24">
        <f t="shared" si="8"/>
        <v>44826000</v>
      </c>
      <c r="AA7" s="25">
        <f t="shared" si="5"/>
        <v>44826000</v>
      </c>
      <c r="AB7" s="24">
        <f t="shared" si="8"/>
        <v>6723000</v>
      </c>
      <c r="AC7" s="24"/>
      <c r="AD7" s="24">
        <f>SUM(AD9:AD11)</f>
        <v>0</v>
      </c>
      <c r="AE7" s="24">
        <f>SUM(AE9:AE12)</f>
        <v>28719000</v>
      </c>
      <c r="AF7" s="24">
        <f>SUM(AF9:AF11)</f>
        <v>0</v>
      </c>
      <c r="AG7" s="24">
        <f>SUM(AG9:AG11)</f>
        <v>0</v>
      </c>
      <c r="AH7" s="24">
        <f>SUM(AH9:AH11)</f>
        <v>0</v>
      </c>
      <c r="AI7" s="24">
        <f>SUM(AI8:AI11)</f>
        <v>65307000</v>
      </c>
      <c r="AJ7" s="24">
        <f t="shared" ref="AJ7:AM7" si="9">SUM(AJ8:AJ11)</f>
        <v>0</v>
      </c>
      <c r="AK7" s="24">
        <f t="shared" si="9"/>
        <v>0</v>
      </c>
      <c r="AL7" s="24">
        <f t="shared" si="9"/>
        <v>0</v>
      </c>
      <c r="AM7" s="24">
        <f t="shared" si="9"/>
        <v>4387000</v>
      </c>
      <c r="AN7" s="24">
        <f>SUM(AN8:AN11)</f>
        <v>0</v>
      </c>
      <c r="AO7" s="24">
        <f t="shared" ref="AO7" si="10">SUM(AO8:AO11)</f>
        <v>0</v>
      </c>
    </row>
    <row r="8" spans="1:41" ht="25.5">
      <c r="A8" s="115" t="s">
        <v>183</v>
      </c>
      <c r="B8" s="165" t="s">
        <v>184</v>
      </c>
      <c r="C8" s="15"/>
      <c r="D8" s="15"/>
      <c r="E8" s="15"/>
      <c r="F8" s="58"/>
      <c r="G8" s="58"/>
      <c r="H8" s="15"/>
      <c r="I8" s="15"/>
      <c r="J8" s="15"/>
      <c r="K8" s="218"/>
      <c r="L8" s="219"/>
      <c r="M8" s="24"/>
      <c r="N8" s="24"/>
      <c r="O8" s="24"/>
      <c r="P8" s="24"/>
      <c r="Q8" s="24"/>
      <c r="R8" s="24"/>
      <c r="S8" s="24"/>
      <c r="T8" s="25">
        <f>AG8+AI8</f>
        <v>0</v>
      </c>
      <c r="U8" s="24"/>
      <c r="V8" s="25">
        <f>AK8+AM8</f>
        <v>4387000</v>
      </c>
      <c r="W8" s="25">
        <v>234282000</v>
      </c>
      <c r="X8" s="25">
        <f>W8-V8</f>
        <v>229895000</v>
      </c>
      <c r="Y8" s="25">
        <f>AN8+AO8</f>
        <v>0</v>
      </c>
      <c r="Z8" s="25">
        <v>44826000</v>
      </c>
      <c r="AA8" s="25">
        <f t="shared" si="5"/>
        <v>44826000</v>
      </c>
      <c r="AB8" s="25">
        <v>6723000</v>
      </c>
      <c r="AC8" s="202">
        <v>903</v>
      </c>
      <c r="AD8" s="24"/>
      <c r="AE8" s="24"/>
      <c r="AF8" s="24"/>
      <c r="AG8" s="24"/>
      <c r="AH8" s="24"/>
      <c r="AI8" s="24"/>
      <c r="AJ8" s="24"/>
      <c r="AK8" s="25"/>
      <c r="AL8" s="24"/>
      <c r="AM8" s="24">
        <v>4387000</v>
      </c>
      <c r="AN8" s="24"/>
      <c r="AO8" s="24"/>
    </row>
    <row r="9" spans="1:41" ht="24.75">
      <c r="A9" s="171" t="s">
        <v>185</v>
      </c>
      <c r="B9" s="121" t="s">
        <v>186</v>
      </c>
      <c r="C9" s="16"/>
      <c r="D9" s="16"/>
      <c r="E9" s="16"/>
      <c r="F9" s="125"/>
      <c r="G9" s="125"/>
      <c r="H9" s="16"/>
      <c r="I9" s="16"/>
      <c r="J9" s="16"/>
      <c r="K9" s="130"/>
      <c r="L9" s="195"/>
      <c r="M9" s="25"/>
      <c r="N9" s="25"/>
      <c r="O9" s="25"/>
      <c r="P9" s="25"/>
      <c r="Q9" s="25">
        <f>AD9+AE9</f>
        <v>912000</v>
      </c>
      <c r="R9" s="25"/>
      <c r="S9" s="25"/>
      <c r="T9" s="25">
        <f>AG9+AI9</f>
        <v>3000000</v>
      </c>
      <c r="U9" s="25"/>
      <c r="V9" s="25">
        <f>AK9+AM9</f>
        <v>0</v>
      </c>
      <c r="W9" s="25">
        <v>0</v>
      </c>
      <c r="X9" s="25">
        <f t="shared" si="4"/>
        <v>0</v>
      </c>
      <c r="Y9" s="25">
        <f>AN9+AO9</f>
        <v>0</v>
      </c>
      <c r="Z9" s="25">
        <v>0</v>
      </c>
      <c r="AA9" s="25">
        <f t="shared" si="5"/>
        <v>0</v>
      </c>
      <c r="AB9" s="25">
        <v>0</v>
      </c>
      <c r="AC9" s="202">
        <v>905</v>
      </c>
      <c r="AD9" s="24"/>
      <c r="AE9" s="25">
        <v>912000</v>
      </c>
      <c r="AF9" s="24"/>
      <c r="AG9" s="24"/>
      <c r="AH9" s="25"/>
      <c r="AI9" s="25">
        <v>3000000</v>
      </c>
      <c r="AJ9" s="24"/>
      <c r="AK9" s="24"/>
      <c r="AL9" s="25"/>
      <c r="AM9" s="25"/>
      <c r="AN9" s="25"/>
      <c r="AO9" s="25"/>
    </row>
    <row r="10" spans="1:41" ht="24">
      <c r="A10" s="171" t="s">
        <v>185</v>
      </c>
      <c r="B10" s="165" t="s">
        <v>186</v>
      </c>
      <c r="C10" s="16"/>
      <c r="D10" s="16"/>
      <c r="E10" s="16"/>
      <c r="F10" s="125"/>
      <c r="G10" s="125"/>
      <c r="H10" s="114">
        <v>1186</v>
      </c>
      <c r="I10" s="114">
        <v>1186</v>
      </c>
      <c r="J10" s="16"/>
      <c r="K10" s="130">
        <v>0</v>
      </c>
      <c r="L10" s="195">
        <f>AD10+AE10</f>
        <v>3178000</v>
      </c>
      <c r="M10" s="195">
        <f>L10-K10</f>
        <v>3178000</v>
      </c>
      <c r="N10" s="25">
        <v>0</v>
      </c>
      <c r="O10" s="25"/>
      <c r="P10" s="25"/>
      <c r="Q10" s="25">
        <f>AD10+AE10</f>
        <v>3178000</v>
      </c>
      <c r="R10" s="25">
        <v>0</v>
      </c>
      <c r="S10" s="25">
        <f>AF10+AH10</f>
        <v>0</v>
      </c>
      <c r="T10" s="25">
        <f>AG10+AI10</f>
        <v>62307000</v>
      </c>
      <c r="U10" s="25">
        <f>AJ10+AL10</f>
        <v>0</v>
      </c>
      <c r="V10" s="25">
        <f>AK10+AM10</f>
        <v>0</v>
      </c>
      <c r="W10" s="25">
        <v>0</v>
      </c>
      <c r="X10" s="25">
        <f t="shared" si="4"/>
        <v>0</v>
      </c>
      <c r="Y10" s="25">
        <f>AN10+AO10</f>
        <v>0</v>
      </c>
      <c r="Z10" s="25">
        <v>0</v>
      </c>
      <c r="AA10" s="25">
        <f t="shared" si="5"/>
        <v>0</v>
      </c>
      <c r="AB10" s="25">
        <v>0</v>
      </c>
      <c r="AC10" s="202">
        <v>903</v>
      </c>
      <c r="AD10" s="194"/>
      <c r="AE10" s="25">
        <f>1033000+2145000</f>
        <v>3178000</v>
      </c>
      <c r="AF10" s="194"/>
      <c r="AG10" s="24"/>
      <c r="AH10" s="25"/>
      <c r="AI10" s="25">
        <v>62307000</v>
      </c>
      <c r="AJ10" s="194"/>
      <c r="AK10" s="24"/>
      <c r="AL10" s="25"/>
      <c r="AM10" s="25"/>
      <c r="AN10" s="25"/>
      <c r="AO10" s="25"/>
    </row>
    <row r="11" spans="1:41" ht="16.899999999999999" customHeight="1">
      <c r="A11" s="115" t="s">
        <v>148</v>
      </c>
      <c r="B11" s="30" t="s">
        <v>149</v>
      </c>
      <c r="C11" s="16">
        <f>9649+25000</f>
        <v>34649</v>
      </c>
      <c r="D11" s="16"/>
      <c r="E11" s="25">
        <f>9649000+25000000</f>
        <v>34649000</v>
      </c>
      <c r="F11" s="116">
        <f>E11/1000</f>
        <v>34649</v>
      </c>
      <c r="G11" s="116">
        <f>F11-C11</f>
        <v>0</v>
      </c>
      <c r="H11" s="114"/>
      <c r="I11" s="114">
        <v>637</v>
      </c>
      <c r="J11" s="114">
        <v>0</v>
      </c>
      <c r="K11" s="131">
        <v>0</v>
      </c>
      <c r="L11" s="195">
        <f>AD11+AE11</f>
        <v>18077000</v>
      </c>
      <c r="M11" s="195">
        <f>L11-K11</f>
        <v>18077000</v>
      </c>
      <c r="N11" s="195">
        <v>0</v>
      </c>
      <c r="O11" s="195"/>
      <c r="P11" s="195"/>
      <c r="Q11" s="25">
        <f>AD11+AE11</f>
        <v>18077000</v>
      </c>
      <c r="R11" s="195">
        <v>0</v>
      </c>
      <c r="S11" s="25">
        <f>AF11+AH11</f>
        <v>0</v>
      </c>
      <c r="T11" s="25">
        <f>AG11+AI11</f>
        <v>0</v>
      </c>
      <c r="U11" s="25">
        <f>AJ11+AL11</f>
        <v>0</v>
      </c>
      <c r="V11" s="25">
        <f>AK11+AM11</f>
        <v>0</v>
      </c>
      <c r="W11" s="25">
        <v>89008000</v>
      </c>
      <c r="X11" s="25">
        <f t="shared" si="4"/>
        <v>89008000</v>
      </c>
      <c r="Y11" s="25">
        <f>AN11+AO11</f>
        <v>0</v>
      </c>
      <c r="Z11" s="25">
        <v>0</v>
      </c>
      <c r="AA11" s="25">
        <f t="shared" si="5"/>
        <v>0</v>
      </c>
      <c r="AB11" s="25">
        <v>0</v>
      </c>
      <c r="AC11" s="202">
        <v>903</v>
      </c>
      <c r="AD11" s="194"/>
      <c r="AE11" s="208">
        <v>18077000</v>
      </c>
      <c r="AF11" s="194"/>
      <c r="AG11" s="24"/>
      <c r="AH11" s="195"/>
      <c r="AI11" s="195"/>
      <c r="AJ11" s="194"/>
      <c r="AK11" s="24"/>
      <c r="AL11" s="195"/>
      <c r="AM11" s="195"/>
      <c r="AN11" s="195"/>
      <c r="AO11" s="195"/>
    </row>
    <row r="12" spans="1:41" ht="16.899999999999999" customHeight="1">
      <c r="A12" s="115" t="s">
        <v>148</v>
      </c>
      <c r="B12" s="30" t="s">
        <v>149</v>
      </c>
      <c r="C12" s="16"/>
      <c r="D12" s="16"/>
      <c r="E12" s="25"/>
      <c r="F12" s="116"/>
      <c r="G12" s="116"/>
      <c r="H12" s="114"/>
      <c r="I12" s="114"/>
      <c r="J12" s="114"/>
      <c r="K12" s="131"/>
      <c r="L12" s="195"/>
      <c r="M12" s="195"/>
      <c r="N12" s="195"/>
      <c r="O12" s="195"/>
      <c r="P12" s="195"/>
      <c r="Q12" s="25">
        <f>AD12+AE12</f>
        <v>6552000</v>
      </c>
      <c r="R12" s="195"/>
      <c r="S12" s="25"/>
      <c r="T12" s="25">
        <f>AG12+AI12</f>
        <v>0</v>
      </c>
      <c r="U12" s="25"/>
      <c r="V12" s="25">
        <f>AK12+AM12</f>
        <v>0</v>
      </c>
      <c r="W12" s="25"/>
      <c r="X12" s="25">
        <f t="shared" si="4"/>
        <v>0</v>
      </c>
      <c r="Y12" s="25">
        <f>AN12+AO12</f>
        <v>0</v>
      </c>
      <c r="Z12" s="25">
        <v>0</v>
      </c>
      <c r="AA12" s="25">
        <f t="shared" si="5"/>
        <v>0</v>
      </c>
      <c r="AB12" s="25">
        <v>0</v>
      </c>
      <c r="AC12" s="202">
        <v>907</v>
      </c>
      <c r="AD12" s="194"/>
      <c r="AE12" s="208">
        <v>6552000</v>
      </c>
      <c r="AF12" s="194"/>
      <c r="AG12" s="24"/>
      <c r="AH12" s="195"/>
      <c r="AI12" s="195"/>
      <c r="AJ12" s="194"/>
      <c r="AK12" s="24"/>
      <c r="AL12" s="195"/>
      <c r="AM12" s="195"/>
      <c r="AN12" s="195"/>
      <c r="AO12" s="195"/>
    </row>
    <row r="13" spans="1:41" ht="15.6" customHeight="1">
      <c r="A13" s="216" t="s">
        <v>37</v>
      </c>
      <c r="B13" s="217" t="s">
        <v>25</v>
      </c>
      <c r="C13" s="15">
        <f t="shared" ref="C13:J13" si="11">SUM(C14:C31)</f>
        <v>99365.099999999991</v>
      </c>
      <c r="D13" s="15">
        <f t="shared" si="11"/>
        <v>0</v>
      </c>
      <c r="E13" s="15">
        <f t="shared" si="11"/>
        <v>99365090.670000002</v>
      </c>
      <c r="F13" s="15">
        <f t="shared" si="11"/>
        <v>66849.586620000002</v>
      </c>
      <c r="G13" s="15">
        <f t="shared" si="11"/>
        <v>8.6620000003062358E-2</v>
      </c>
      <c r="H13" s="15">
        <f t="shared" si="11"/>
        <v>0</v>
      </c>
      <c r="I13" s="15">
        <f t="shared" si="11"/>
        <v>59336</v>
      </c>
      <c r="J13" s="15">
        <f t="shared" si="11"/>
        <v>0</v>
      </c>
      <c r="K13" s="218">
        <v>0</v>
      </c>
      <c r="L13" s="24">
        <f>SUM(L14:L31)</f>
        <v>148264346.09999999</v>
      </c>
      <c r="M13" s="24">
        <f>SUM(M14:M31)</f>
        <v>148254346.09999999</v>
      </c>
      <c r="N13" s="24">
        <f>SUM(N14:N31)</f>
        <v>2</v>
      </c>
      <c r="O13" s="24"/>
      <c r="P13" s="24"/>
      <c r="Q13" s="24">
        <f t="shared" ref="Q13:S13" si="12">SUM(Q14:Q31)</f>
        <v>160804507.09999999</v>
      </c>
      <c r="R13" s="24">
        <f t="shared" si="12"/>
        <v>91677161.789999992</v>
      </c>
      <c r="S13" s="24">
        <f t="shared" si="12"/>
        <v>148159118.28999999</v>
      </c>
      <c r="T13" s="24">
        <f>SUM(T14:T31)</f>
        <v>190630912.22999999</v>
      </c>
      <c r="U13" s="24">
        <f t="shared" ref="U13:X13" si="13">SUM(U14:U31)</f>
        <v>102657764.75000001</v>
      </c>
      <c r="V13" s="24">
        <f t="shared" si="13"/>
        <v>103467717.50999999</v>
      </c>
      <c r="W13" s="24">
        <f t="shared" si="13"/>
        <v>308067269.06999999</v>
      </c>
      <c r="X13" s="24">
        <f t="shared" si="13"/>
        <v>204599551.56</v>
      </c>
      <c r="Y13" s="24">
        <f t="shared" ref="Y13" si="14">SUM(Y14:Y31)</f>
        <v>741691168.04999995</v>
      </c>
      <c r="Z13" s="24">
        <f t="shared" ref="Z13" si="15">SUM(Z14:Z31)</f>
        <v>217852538.08999997</v>
      </c>
      <c r="AA13" s="24">
        <f t="shared" ref="AA13" si="16">SUM(AA14:AA31)</f>
        <v>-524223249.95999998</v>
      </c>
      <c r="AB13" s="24">
        <f t="shared" ref="AB13" si="17">SUM(AB14:AB31)</f>
        <v>165459141.96000001</v>
      </c>
      <c r="AC13" s="24"/>
      <c r="AD13" s="24">
        <f t="shared" ref="AD13:AO13" si="18">SUM(AD14:AD31)</f>
        <v>70005813.969999999</v>
      </c>
      <c r="AE13" s="24">
        <f t="shared" si="18"/>
        <v>90798693.129999995</v>
      </c>
      <c r="AF13" s="24">
        <f t="shared" si="18"/>
        <v>84122000.739999995</v>
      </c>
      <c r="AG13" s="24">
        <f t="shared" si="18"/>
        <v>105825594.72999999</v>
      </c>
      <c r="AH13" s="24">
        <f t="shared" si="18"/>
        <v>64037117.550000004</v>
      </c>
      <c r="AI13" s="24">
        <f t="shared" si="18"/>
        <v>84805317.5</v>
      </c>
      <c r="AJ13" s="24">
        <f t="shared" si="18"/>
        <v>37327783.890000001</v>
      </c>
      <c r="AK13" s="24">
        <f t="shared" si="18"/>
        <v>38165739.090000004</v>
      </c>
      <c r="AL13" s="24">
        <f t="shared" si="18"/>
        <v>65329980.859999999</v>
      </c>
      <c r="AM13" s="24">
        <f t="shared" si="18"/>
        <v>65301978.420000002</v>
      </c>
      <c r="AN13" s="24">
        <f t="shared" si="18"/>
        <v>567206187.54999995</v>
      </c>
      <c r="AO13" s="24">
        <f t="shared" si="18"/>
        <v>174484980.5</v>
      </c>
    </row>
    <row r="14" spans="1:41" ht="39.75" customHeight="1">
      <c r="A14" s="115" t="s">
        <v>66</v>
      </c>
      <c r="B14" s="30" t="s">
        <v>98</v>
      </c>
      <c r="C14" s="16">
        <v>29411</v>
      </c>
      <c r="D14" s="16"/>
      <c r="E14" s="25">
        <v>29411000</v>
      </c>
      <c r="F14" s="116">
        <f>E14/1000</f>
        <v>29411</v>
      </c>
      <c r="G14" s="116">
        <f>F14-C14</f>
        <v>0</v>
      </c>
      <c r="H14" s="114"/>
      <c r="I14" s="114">
        <v>23860</v>
      </c>
      <c r="J14" s="114"/>
      <c r="K14" s="131">
        <v>0</v>
      </c>
      <c r="L14" s="195">
        <f t="shared" ref="L14:L19" si="19">AD14+AE14</f>
        <v>40500000</v>
      </c>
      <c r="M14" s="195">
        <f t="shared" ref="M14:M19" si="20">L14-K14</f>
        <v>40500000</v>
      </c>
      <c r="N14" s="195">
        <v>0</v>
      </c>
      <c r="O14" s="195"/>
      <c r="P14" s="195"/>
      <c r="Q14" s="25">
        <f t="shared" ref="Q14:Q19" si="21">AD14+AE14</f>
        <v>40500000</v>
      </c>
      <c r="R14" s="195">
        <v>30000000</v>
      </c>
      <c r="S14" s="25">
        <f t="shared" ref="S14:T29" si="22">AF14+AH14</f>
        <v>30000000</v>
      </c>
      <c r="T14" s="25">
        <f t="shared" si="22"/>
        <v>54882957.380000003</v>
      </c>
      <c r="U14" s="25">
        <f t="shared" ref="U14:W29" si="23">AJ14+AL14</f>
        <v>30000000</v>
      </c>
      <c r="V14" s="25">
        <f t="shared" si="23"/>
        <v>23000000</v>
      </c>
      <c r="W14" s="25">
        <v>48000000</v>
      </c>
      <c r="X14" s="25">
        <f t="shared" si="4"/>
        <v>25000000</v>
      </c>
      <c r="Y14" s="25">
        <f t="shared" ref="Y14:Y30" si="24">AN14+AO14</f>
        <v>24000000</v>
      </c>
      <c r="Z14" s="25">
        <v>0</v>
      </c>
      <c r="AA14" s="25">
        <f t="shared" si="5"/>
        <v>-24000000</v>
      </c>
      <c r="AB14" s="25">
        <v>0</v>
      </c>
      <c r="AC14" s="202">
        <v>905</v>
      </c>
      <c r="AD14" s="194"/>
      <c r="AE14" s="195">
        <f>30000000+4500000+6000000</f>
        <v>40500000</v>
      </c>
      <c r="AF14" s="194"/>
      <c r="AG14" s="194"/>
      <c r="AH14" s="195">
        <v>30000000</v>
      </c>
      <c r="AI14" s="195">
        <f>50000000+4499991+382966.38</f>
        <v>54882957.380000003</v>
      </c>
      <c r="AJ14" s="194"/>
      <c r="AK14" s="194"/>
      <c r="AL14" s="195">
        <v>30000000</v>
      </c>
      <c r="AM14" s="195">
        <v>23000000</v>
      </c>
      <c r="AN14" s="195"/>
      <c r="AO14" s="195">
        <v>24000000</v>
      </c>
    </row>
    <row r="15" spans="1:41" ht="29.25" customHeight="1">
      <c r="A15" s="115" t="s">
        <v>212</v>
      </c>
      <c r="B15" s="30" t="s">
        <v>213</v>
      </c>
      <c r="C15" s="16"/>
      <c r="D15" s="16"/>
      <c r="E15" s="25"/>
      <c r="F15" s="116"/>
      <c r="G15" s="116"/>
      <c r="H15" s="114"/>
      <c r="I15" s="114">
        <v>0</v>
      </c>
      <c r="J15" s="114"/>
      <c r="K15" s="131">
        <v>0</v>
      </c>
      <c r="L15" s="195">
        <f t="shared" si="19"/>
        <v>11250000</v>
      </c>
      <c r="M15" s="195">
        <f t="shared" si="20"/>
        <v>11250000</v>
      </c>
      <c r="N15" s="195">
        <v>0</v>
      </c>
      <c r="O15" s="195"/>
      <c r="P15" s="195"/>
      <c r="Q15" s="25">
        <f t="shared" si="21"/>
        <v>11250000</v>
      </c>
      <c r="R15" s="195">
        <v>1471000</v>
      </c>
      <c r="S15" s="25">
        <f t="shared" si="22"/>
        <v>0</v>
      </c>
      <c r="T15" s="25">
        <f t="shared" si="22"/>
        <v>0</v>
      </c>
      <c r="U15" s="25">
        <f t="shared" si="23"/>
        <v>0</v>
      </c>
      <c r="V15" s="25">
        <f t="shared" si="23"/>
        <v>0</v>
      </c>
      <c r="W15" s="25">
        <v>0</v>
      </c>
      <c r="X15" s="25">
        <f t="shared" si="4"/>
        <v>0</v>
      </c>
      <c r="Y15" s="25">
        <f t="shared" si="24"/>
        <v>0</v>
      </c>
      <c r="Z15" s="25">
        <v>15118384</v>
      </c>
      <c r="AA15" s="25">
        <f t="shared" si="5"/>
        <v>15118384</v>
      </c>
      <c r="AB15" s="25">
        <v>0</v>
      </c>
      <c r="AC15" s="202">
        <v>907</v>
      </c>
      <c r="AD15" s="194"/>
      <c r="AE15" s="195">
        <v>11250000</v>
      </c>
      <c r="AF15" s="194"/>
      <c r="AG15" s="194"/>
      <c r="AH15" s="195"/>
      <c r="AI15" s="195"/>
      <c r="AJ15" s="194"/>
      <c r="AK15" s="194"/>
      <c r="AL15" s="195"/>
      <c r="AM15" s="195"/>
      <c r="AN15" s="195"/>
      <c r="AO15" s="195"/>
    </row>
    <row r="16" spans="1:41" ht="54" customHeight="1">
      <c r="A16" s="115" t="s">
        <v>216</v>
      </c>
      <c r="B16" s="117" t="s">
        <v>217</v>
      </c>
      <c r="C16" s="16">
        <v>30453.9</v>
      </c>
      <c r="D16" s="16"/>
      <c r="E16" s="25">
        <v>30453878.91</v>
      </c>
      <c r="F16" s="116"/>
      <c r="G16" s="116"/>
      <c r="H16" s="114"/>
      <c r="I16" s="114"/>
      <c r="J16" s="114"/>
      <c r="K16" s="131"/>
      <c r="L16" s="195">
        <f t="shared" si="19"/>
        <v>562510.79999999993</v>
      </c>
      <c r="M16" s="195">
        <f t="shared" si="20"/>
        <v>562510.79999999993</v>
      </c>
      <c r="N16" s="195">
        <v>0</v>
      </c>
      <c r="O16" s="195"/>
      <c r="P16" s="195"/>
      <c r="Q16" s="25">
        <f t="shared" si="21"/>
        <v>562510.79999999993</v>
      </c>
      <c r="R16" s="195">
        <v>0</v>
      </c>
      <c r="S16" s="25">
        <f t="shared" si="22"/>
        <v>0</v>
      </c>
      <c r="T16" s="25">
        <f t="shared" si="22"/>
        <v>0</v>
      </c>
      <c r="U16" s="25">
        <f t="shared" si="23"/>
        <v>0</v>
      </c>
      <c r="V16" s="25">
        <f t="shared" si="23"/>
        <v>0</v>
      </c>
      <c r="W16" s="25">
        <v>70155640</v>
      </c>
      <c r="X16" s="25">
        <f t="shared" si="4"/>
        <v>70155640</v>
      </c>
      <c r="Y16" s="25">
        <f t="shared" si="24"/>
        <v>0</v>
      </c>
      <c r="Z16" s="25">
        <v>74750800</v>
      </c>
      <c r="AA16" s="25">
        <f t="shared" si="5"/>
        <v>74750800</v>
      </c>
      <c r="AB16" s="25">
        <v>89823830</v>
      </c>
      <c r="AC16" s="202">
        <v>906</v>
      </c>
      <c r="AD16" s="194">
        <v>556885.68999999994</v>
      </c>
      <c r="AE16" s="195">
        <v>5625.11</v>
      </c>
      <c r="AF16" s="194"/>
      <c r="AG16" s="194"/>
      <c r="AH16" s="195"/>
      <c r="AI16" s="195"/>
      <c r="AJ16" s="194"/>
      <c r="AK16" s="194"/>
      <c r="AL16" s="195"/>
      <c r="AM16" s="195"/>
      <c r="AN16" s="195"/>
      <c r="AO16" s="195"/>
    </row>
    <row r="17" spans="1:41" ht="54.75" customHeight="1">
      <c r="A17" s="115" t="s">
        <v>162</v>
      </c>
      <c r="B17" s="196" t="s">
        <v>189</v>
      </c>
      <c r="C17" s="16">
        <v>212.2</v>
      </c>
      <c r="D17" s="16"/>
      <c r="E17" s="25">
        <v>212168.14</v>
      </c>
      <c r="F17" s="116"/>
      <c r="G17" s="116"/>
      <c r="H17" s="114"/>
      <c r="I17" s="114"/>
      <c r="J17" s="114"/>
      <c r="K17" s="131"/>
      <c r="L17" s="195">
        <f t="shared" si="19"/>
        <v>0</v>
      </c>
      <c r="M17" s="195">
        <f t="shared" si="20"/>
        <v>0</v>
      </c>
      <c r="N17" s="195">
        <v>0</v>
      </c>
      <c r="O17" s="195"/>
      <c r="P17" s="195"/>
      <c r="Q17" s="25">
        <f t="shared" si="21"/>
        <v>0</v>
      </c>
      <c r="R17" s="195">
        <v>0</v>
      </c>
      <c r="S17" s="25">
        <f t="shared" si="22"/>
        <v>6786727.2599999998</v>
      </c>
      <c r="T17" s="25">
        <f t="shared" si="22"/>
        <v>9156464.6699999999</v>
      </c>
      <c r="U17" s="25">
        <f t="shared" si="23"/>
        <v>0</v>
      </c>
      <c r="V17" s="25">
        <f t="shared" si="23"/>
        <v>0</v>
      </c>
      <c r="W17" s="25">
        <v>0</v>
      </c>
      <c r="X17" s="25">
        <f t="shared" si="4"/>
        <v>0</v>
      </c>
      <c r="Y17" s="25">
        <f t="shared" si="24"/>
        <v>0</v>
      </c>
      <c r="Z17" s="25">
        <v>0</v>
      </c>
      <c r="AA17" s="25">
        <v>0</v>
      </c>
      <c r="AB17" s="25">
        <v>0</v>
      </c>
      <c r="AC17" s="202">
        <v>906</v>
      </c>
      <c r="AD17" s="194"/>
      <c r="AE17" s="195"/>
      <c r="AF17" s="194">
        <v>6718860</v>
      </c>
      <c r="AG17" s="194">
        <v>9064900.0199999996</v>
      </c>
      <c r="AH17" s="195">
        <v>67867.259999999995</v>
      </c>
      <c r="AI17" s="195">
        <v>91564.65</v>
      </c>
      <c r="AJ17" s="194"/>
      <c r="AK17" s="194"/>
      <c r="AL17" s="195"/>
      <c r="AM17" s="195"/>
      <c r="AN17" s="195"/>
      <c r="AO17" s="195"/>
    </row>
    <row r="18" spans="1:41" ht="38.25" customHeight="1">
      <c r="A18" s="115" t="s">
        <v>218</v>
      </c>
      <c r="B18" s="118" t="s">
        <v>219</v>
      </c>
      <c r="C18" s="25"/>
      <c r="D18" s="25"/>
      <c r="E18" s="25"/>
      <c r="F18" s="116"/>
      <c r="G18" s="116"/>
      <c r="H18" s="114"/>
      <c r="I18" s="114">
        <v>0</v>
      </c>
      <c r="J18" s="114"/>
      <c r="K18" s="131">
        <v>0</v>
      </c>
      <c r="L18" s="195">
        <f t="shared" si="19"/>
        <v>0</v>
      </c>
      <c r="M18" s="195">
        <f t="shared" si="20"/>
        <v>0</v>
      </c>
      <c r="N18" s="195">
        <v>0</v>
      </c>
      <c r="O18" s="195"/>
      <c r="P18" s="195"/>
      <c r="Q18" s="25">
        <f t="shared" si="21"/>
        <v>0</v>
      </c>
      <c r="R18" s="195">
        <v>0</v>
      </c>
      <c r="S18" s="25">
        <f t="shared" si="22"/>
        <v>0</v>
      </c>
      <c r="T18" s="25">
        <f t="shared" si="22"/>
        <v>0</v>
      </c>
      <c r="U18" s="25">
        <f t="shared" si="23"/>
        <v>0</v>
      </c>
      <c r="V18" s="25">
        <v>0</v>
      </c>
      <c r="W18" s="25">
        <v>91146769</v>
      </c>
      <c r="X18" s="25">
        <f t="shared" si="4"/>
        <v>91146769</v>
      </c>
      <c r="Y18" s="25">
        <f t="shared" si="24"/>
        <v>0</v>
      </c>
      <c r="Z18" s="25">
        <v>0</v>
      </c>
      <c r="AA18" s="25">
        <f t="shared" si="5"/>
        <v>0</v>
      </c>
      <c r="AB18" s="25">
        <v>0</v>
      </c>
      <c r="AC18" s="202">
        <v>906</v>
      </c>
      <c r="AD18" s="194"/>
      <c r="AE18" s="195"/>
      <c r="AF18" s="194"/>
      <c r="AG18" s="194"/>
      <c r="AH18" s="195"/>
      <c r="AI18" s="195"/>
      <c r="AJ18" s="194"/>
      <c r="AK18" s="194"/>
      <c r="AL18" s="195"/>
      <c r="AM18" s="195"/>
      <c r="AN18" s="195"/>
      <c r="AO18" s="195"/>
    </row>
    <row r="19" spans="1:41" ht="26.25" customHeight="1">
      <c r="A19" s="115" t="s">
        <v>174</v>
      </c>
      <c r="B19" s="165" t="s">
        <v>164</v>
      </c>
      <c r="C19" s="16"/>
      <c r="D19" s="16"/>
      <c r="E19" s="25"/>
      <c r="F19" s="116"/>
      <c r="G19" s="116"/>
      <c r="H19" s="114"/>
      <c r="I19" s="114">
        <v>0</v>
      </c>
      <c r="J19" s="114"/>
      <c r="K19" s="131">
        <v>0</v>
      </c>
      <c r="L19" s="195">
        <f t="shared" si="19"/>
        <v>403600</v>
      </c>
      <c r="M19" s="195">
        <f t="shared" si="20"/>
        <v>403600</v>
      </c>
      <c r="N19" s="195">
        <v>0</v>
      </c>
      <c r="O19" s="195"/>
      <c r="P19" s="195"/>
      <c r="Q19" s="25">
        <f t="shared" si="21"/>
        <v>403600</v>
      </c>
      <c r="R19" s="195">
        <v>437200</v>
      </c>
      <c r="S19" s="25">
        <f t="shared" si="22"/>
        <v>0</v>
      </c>
      <c r="T19" s="25">
        <f t="shared" si="22"/>
        <v>0</v>
      </c>
      <c r="U19" s="25">
        <f t="shared" si="23"/>
        <v>0</v>
      </c>
      <c r="V19" s="25">
        <f t="shared" si="23"/>
        <v>0</v>
      </c>
      <c r="W19" s="25">
        <v>0</v>
      </c>
      <c r="X19" s="25">
        <f t="shared" si="4"/>
        <v>0</v>
      </c>
      <c r="Y19" s="25">
        <f t="shared" si="24"/>
        <v>563337100</v>
      </c>
      <c r="Z19" s="25">
        <v>0</v>
      </c>
      <c r="AA19" s="25">
        <f t="shared" si="5"/>
        <v>-563337100</v>
      </c>
      <c r="AB19" s="25">
        <v>0</v>
      </c>
      <c r="AC19" s="202">
        <v>905</v>
      </c>
      <c r="AD19" s="194">
        <v>399542.52</v>
      </c>
      <c r="AE19" s="195">
        <v>4057.48</v>
      </c>
      <c r="AF19" s="194"/>
      <c r="AG19" s="194"/>
      <c r="AH19" s="195"/>
      <c r="AI19" s="195"/>
      <c r="AJ19" s="194"/>
      <c r="AK19" s="194"/>
      <c r="AL19" s="195"/>
      <c r="AM19" s="195"/>
      <c r="AN19" s="195">
        <v>484163600</v>
      </c>
      <c r="AO19" s="195">
        <v>79173500</v>
      </c>
    </row>
    <row r="20" spans="1:41" ht="26.25" customHeight="1">
      <c r="A20" s="115" t="s">
        <v>174</v>
      </c>
      <c r="B20" s="165" t="s">
        <v>164</v>
      </c>
      <c r="C20" s="16"/>
      <c r="D20" s="16"/>
      <c r="E20" s="25"/>
      <c r="F20" s="116"/>
      <c r="G20" s="116"/>
      <c r="H20" s="114"/>
      <c r="I20" s="114"/>
      <c r="J20" s="114"/>
      <c r="K20" s="131"/>
      <c r="L20" s="195"/>
      <c r="M20" s="195"/>
      <c r="N20" s="195"/>
      <c r="O20" s="195"/>
      <c r="P20" s="195"/>
      <c r="Q20" s="25"/>
      <c r="R20" s="195"/>
      <c r="S20" s="25"/>
      <c r="T20" s="25">
        <f t="shared" si="22"/>
        <v>0</v>
      </c>
      <c r="U20" s="25"/>
      <c r="V20" s="25">
        <f t="shared" si="23"/>
        <v>0</v>
      </c>
      <c r="W20" s="25">
        <v>0</v>
      </c>
      <c r="X20" s="25">
        <f t="shared" si="4"/>
        <v>0</v>
      </c>
      <c r="Y20" s="25">
        <f t="shared" si="24"/>
        <v>49497400</v>
      </c>
      <c r="Z20" s="25">
        <v>0</v>
      </c>
      <c r="AA20" s="25">
        <f t="shared" si="5"/>
        <v>-49497400</v>
      </c>
      <c r="AB20" s="25">
        <v>19582100</v>
      </c>
      <c r="AC20" s="202">
        <v>907</v>
      </c>
      <c r="AD20" s="194"/>
      <c r="AE20" s="195"/>
      <c r="AF20" s="194"/>
      <c r="AG20" s="194"/>
      <c r="AH20" s="195"/>
      <c r="AI20" s="195"/>
      <c r="AJ20" s="194"/>
      <c r="AK20" s="194"/>
      <c r="AL20" s="195"/>
      <c r="AM20" s="195"/>
      <c r="AN20" s="195">
        <v>49002400</v>
      </c>
      <c r="AO20" s="195">
        <v>495000</v>
      </c>
    </row>
    <row r="21" spans="1:41" ht="41.25" customHeight="1">
      <c r="A21" s="115" t="s">
        <v>214</v>
      </c>
      <c r="B21" s="165" t="s">
        <v>215</v>
      </c>
      <c r="C21" s="16"/>
      <c r="D21" s="16"/>
      <c r="E21" s="25"/>
      <c r="F21" s="116"/>
      <c r="G21" s="116"/>
      <c r="H21" s="114"/>
      <c r="I21" s="114"/>
      <c r="J21" s="114"/>
      <c r="K21" s="131"/>
      <c r="L21" s="195">
        <f>AD21+AE21</f>
        <v>0</v>
      </c>
      <c r="M21" s="195">
        <f>L21-K21</f>
        <v>0</v>
      </c>
      <c r="N21" s="195">
        <v>1</v>
      </c>
      <c r="O21" s="195"/>
      <c r="P21" s="195"/>
      <c r="Q21" s="25">
        <f>AD21+AE21</f>
        <v>0</v>
      </c>
      <c r="R21" s="195">
        <v>0</v>
      </c>
      <c r="S21" s="25">
        <f>AF21+AH21</f>
        <v>0</v>
      </c>
      <c r="T21" s="25">
        <f t="shared" si="22"/>
        <v>0</v>
      </c>
      <c r="U21" s="25">
        <f>AJ21+AL21</f>
        <v>0</v>
      </c>
      <c r="V21" s="25">
        <f t="shared" si="23"/>
        <v>0</v>
      </c>
      <c r="W21" s="25">
        <v>1798156.57</v>
      </c>
      <c r="X21" s="25">
        <f t="shared" si="4"/>
        <v>1798156.57</v>
      </c>
      <c r="Y21" s="25">
        <f t="shared" si="24"/>
        <v>0</v>
      </c>
      <c r="Z21" s="25">
        <v>0</v>
      </c>
      <c r="AA21" s="25">
        <f t="shared" si="5"/>
        <v>0</v>
      </c>
      <c r="AB21" s="25">
        <v>0</v>
      </c>
      <c r="AC21" s="202">
        <v>906</v>
      </c>
      <c r="AD21" s="194"/>
      <c r="AE21" s="195"/>
      <c r="AF21" s="194"/>
      <c r="AG21" s="194"/>
      <c r="AH21" s="195"/>
      <c r="AI21" s="195"/>
      <c r="AJ21" s="194"/>
      <c r="AK21" s="194"/>
      <c r="AL21" s="195"/>
      <c r="AM21" s="195"/>
      <c r="AN21" s="195"/>
      <c r="AO21" s="195"/>
    </row>
    <row r="22" spans="1:41" ht="63" customHeight="1">
      <c r="A22" s="115" t="s">
        <v>169</v>
      </c>
      <c r="B22" s="165" t="s">
        <v>188</v>
      </c>
      <c r="C22" s="16"/>
      <c r="D22" s="16"/>
      <c r="E22" s="25"/>
      <c r="F22" s="116"/>
      <c r="G22" s="116"/>
      <c r="H22" s="114"/>
      <c r="I22" s="114"/>
      <c r="J22" s="114"/>
      <c r="K22" s="131"/>
      <c r="L22" s="195"/>
      <c r="M22" s="195"/>
      <c r="N22" s="195"/>
      <c r="O22" s="195"/>
      <c r="P22" s="195"/>
      <c r="Q22" s="25">
        <f>AD22+AE22</f>
        <v>0</v>
      </c>
      <c r="R22" s="195">
        <v>1</v>
      </c>
      <c r="S22" s="25">
        <f>AF22+AH22</f>
        <v>19888932.699999999</v>
      </c>
      <c r="T22" s="25">
        <f t="shared" si="22"/>
        <v>40620458.089999996</v>
      </c>
      <c r="U22" s="25">
        <f>AJ22+AL22</f>
        <v>0</v>
      </c>
      <c r="V22" s="25">
        <f t="shared" si="23"/>
        <v>0</v>
      </c>
      <c r="W22" s="25">
        <f t="shared" si="23"/>
        <v>0</v>
      </c>
      <c r="X22" s="25">
        <f t="shared" si="4"/>
        <v>0</v>
      </c>
      <c r="Y22" s="25">
        <f t="shared" si="24"/>
        <v>0</v>
      </c>
      <c r="Z22" s="25">
        <v>0</v>
      </c>
      <c r="AA22" s="25">
        <f t="shared" si="5"/>
        <v>0</v>
      </c>
      <c r="AB22" s="25">
        <v>0</v>
      </c>
      <c r="AC22" s="202">
        <v>906</v>
      </c>
      <c r="AD22" s="194"/>
      <c r="AE22" s="195"/>
      <c r="AF22" s="194">
        <v>19690043.41</v>
      </c>
      <c r="AG22" s="194">
        <f>21659047.74-2406560.86+20961766.67</f>
        <v>40214253.549999997</v>
      </c>
      <c r="AH22" s="195">
        <v>198889.29</v>
      </c>
      <c r="AI22" s="195">
        <f>218778.21-24308.69+211735.02</f>
        <v>406204.54</v>
      </c>
      <c r="AJ22" s="194"/>
      <c r="AK22" s="194"/>
      <c r="AL22" s="195"/>
      <c r="AM22" s="195"/>
      <c r="AN22" s="195"/>
      <c r="AO22" s="195"/>
    </row>
    <row r="23" spans="1:41" ht="50.25" customHeight="1">
      <c r="A23" s="115" t="s">
        <v>190</v>
      </c>
      <c r="B23" s="165" t="s">
        <v>191</v>
      </c>
      <c r="C23" s="16"/>
      <c r="D23" s="16"/>
      <c r="E23" s="25"/>
      <c r="F23" s="116"/>
      <c r="G23" s="116"/>
      <c r="H23" s="114"/>
      <c r="I23" s="114"/>
      <c r="J23" s="114"/>
      <c r="K23" s="131"/>
      <c r="L23" s="195"/>
      <c r="M23" s="195"/>
      <c r="N23" s="195"/>
      <c r="O23" s="195"/>
      <c r="P23" s="195"/>
      <c r="Q23" s="25"/>
      <c r="R23" s="195"/>
      <c r="S23" s="25"/>
      <c r="T23" s="25">
        <f t="shared" si="22"/>
        <v>3479845.71</v>
      </c>
      <c r="U23" s="25"/>
      <c r="V23" s="25">
        <f t="shared" si="23"/>
        <v>0</v>
      </c>
      <c r="W23" s="25">
        <f t="shared" si="23"/>
        <v>0</v>
      </c>
      <c r="X23" s="25">
        <f t="shared" si="4"/>
        <v>0</v>
      </c>
      <c r="Y23" s="25">
        <f t="shared" si="24"/>
        <v>0</v>
      </c>
      <c r="Z23" s="25">
        <v>0</v>
      </c>
      <c r="AA23" s="25">
        <f t="shared" si="5"/>
        <v>0</v>
      </c>
      <c r="AB23" s="25">
        <v>0</v>
      </c>
      <c r="AC23" s="202">
        <v>906</v>
      </c>
      <c r="AD23" s="194"/>
      <c r="AE23" s="195"/>
      <c r="AF23" s="194"/>
      <c r="AG23" s="194">
        <v>3445047.25</v>
      </c>
      <c r="AH23" s="195"/>
      <c r="AI23" s="195">
        <v>34798.46</v>
      </c>
      <c r="AJ23" s="194"/>
      <c r="AK23" s="194"/>
      <c r="AL23" s="195"/>
      <c r="AM23" s="195"/>
      <c r="AN23" s="195"/>
      <c r="AO23" s="195"/>
    </row>
    <row r="24" spans="1:41" ht="35.450000000000003" customHeight="1">
      <c r="A24" s="115" t="s">
        <v>112</v>
      </c>
      <c r="B24" s="165" t="s">
        <v>113</v>
      </c>
      <c r="C24" s="16"/>
      <c r="D24" s="16"/>
      <c r="E24" s="25"/>
      <c r="F24" s="116"/>
      <c r="G24" s="116"/>
      <c r="H24" s="114"/>
      <c r="I24" s="114"/>
      <c r="J24" s="114"/>
      <c r="K24" s="131">
        <v>0</v>
      </c>
      <c r="L24" s="195">
        <f>AD24+AE24</f>
        <v>41702031.109999999</v>
      </c>
      <c r="M24" s="195">
        <f>L24-K24</f>
        <v>41702031.109999999</v>
      </c>
      <c r="N24" s="195">
        <v>1</v>
      </c>
      <c r="O24" s="195"/>
      <c r="P24" s="195"/>
      <c r="Q24" s="25">
        <f t="shared" ref="Q24:Q30" si="25">AD24+AE24</f>
        <v>41702031.109999999</v>
      </c>
      <c r="R24" s="195">
        <v>36323037</v>
      </c>
      <c r="S24" s="25">
        <f t="shared" ref="S24:T30" si="26">AF24+AH24</f>
        <v>41702042.219999999</v>
      </c>
      <c r="T24" s="25">
        <f t="shared" si="22"/>
        <v>42346000</v>
      </c>
      <c r="U24" s="25">
        <f t="shared" ref="U24:V30" si="27">AJ24+AL24</f>
        <v>38186527.210000001</v>
      </c>
      <c r="V24" s="25">
        <f t="shared" si="23"/>
        <v>38915000</v>
      </c>
      <c r="W24" s="25">
        <v>42258298.990000002</v>
      </c>
      <c r="X24" s="25">
        <f t="shared" si="4"/>
        <v>3343298.9900000021</v>
      </c>
      <c r="Y24" s="25">
        <f t="shared" si="24"/>
        <v>37469000</v>
      </c>
      <c r="Z24" s="25">
        <v>36975922.219999999</v>
      </c>
      <c r="AA24" s="25">
        <f t="shared" si="5"/>
        <v>-493077.78000000119</v>
      </c>
      <c r="AB24" s="25">
        <v>34945500</v>
      </c>
      <c r="AC24" s="202">
        <v>906</v>
      </c>
      <c r="AD24" s="194">
        <v>37531828</v>
      </c>
      <c r="AE24" s="195">
        <v>4170203.11</v>
      </c>
      <c r="AF24" s="194">
        <v>37531838</v>
      </c>
      <c r="AG24" s="194">
        <v>38111000</v>
      </c>
      <c r="AH24" s="195">
        <v>4170204.22</v>
      </c>
      <c r="AI24" s="195">
        <v>4235000</v>
      </c>
      <c r="AJ24" s="194">
        <v>35131605</v>
      </c>
      <c r="AK24" s="194">
        <v>35802000</v>
      </c>
      <c r="AL24" s="195">
        <v>3054922.21</v>
      </c>
      <c r="AM24" s="195">
        <v>3113000</v>
      </c>
      <c r="AN24" s="195">
        <v>32598000</v>
      </c>
      <c r="AO24" s="195">
        <v>4871000</v>
      </c>
    </row>
    <row r="25" spans="1:41" ht="39" customHeight="1">
      <c r="A25" s="115" t="s">
        <v>150</v>
      </c>
      <c r="B25" s="165" t="s">
        <v>151</v>
      </c>
      <c r="C25" s="16"/>
      <c r="D25" s="16"/>
      <c r="E25" s="25"/>
      <c r="F25" s="116"/>
      <c r="G25" s="116"/>
      <c r="H25" s="114"/>
      <c r="I25" s="114"/>
      <c r="J25" s="114"/>
      <c r="K25" s="131"/>
      <c r="L25" s="195"/>
      <c r="M25" s="195"/>
      <c r="N25" s="195"/>
      <c r="O25" s="195"/>
      <c r="P25" s="195"/>
      <c r="Q25" s="25">
        <f t="shared" si="25"/>
        <v>0</v>
      </c>
      <c r="R25" s="195"/>
      <c r="S25" s="25">
        <f t="shared" si="26"/>
        <v>0</v>
      </c>
      <c r="T25" s="25">
        <f t="shared" si="22"/>
        <v>0</v>
      </c>
      <c r="U25" s="25">
        <f t="shared" si="27"/>
        <v>0</v>
      </c>
      <c r="V25" s="25">
        <f t="shared" si="23"/>
        <v>0</v>
      </c>
      <c r="W25" s="25">
        <v>0</v>
      </c>
      <c r="X25" s="25">
        <f t="shared" si="4"/>
        <v>0</v>
      </c>
      <c r="Y25" s="25">
        <f t="shared" si="24"/>
        <v>0</v>
      </c>
      <c r="Z25" s="25">
        <v>0</v>
      </c>
      <c r="AA25" s="25">
        <f t="shared" si="5"/>
        <v>0</v>
      </c>
      <c r="AB25" s="25">
        <v>0</v>
      </c>
      <c r="AC25" s="202">
        <v>905</v>
      </c>
      <c r="AD25" s="194"/>
      <c r="AE25" s="195"/>
      <c r="AF25" s="194"/>
      <c r="AG25" s="194"/>
      <c r="AH25" s="195"/>
      <c r="AI25" s="195"/>
      <c r="AJ25" s="194"/>
      <c r="AK25" s="194"/>
      <c r="AL25" s="195"/>
      <c r="AM25" s="195"/>
      <c r="AN25" s="195"/>
      <c r="AO25" s="195"/>
    </row>
    <row r="26" spans="1:41" ht="27.75" customHeight="1">
      <c r="A26" s="119" t="s">
        <v>41</v>
      </c>
      <c r="B26" s="40" t="s">
        <v>192</v>
      </c>
      <c r="C26" s="25">
        <v>1770.5</v>
      </c>
      <c r="D26" s="25"/>
      <c r="E26" s="25">
        <v>1770457</v>
      </c>
      <c r="F26" s="116"/>
      <c r="G26" s="116"/>
      <c r="H26" s="114"/>
      <c r="I26" s="114">
        <v>2906</v>
      </c>
      <c r="J26" s="114"/>
      <c r="K26" s="131">
        <v>0</v>
      </c>
      <c r="L26" s="195">
        <f>AD26+AE26</f>
        <v>3629290.9</v>
      </c>
      <c r="M26" s="195">
        <f t="shared" ref="M26:M34" si="28">L26-K26</f>
        <v>3629290.9</v>
      </c>
      <c r="N26" s="195">
        <v>0</v>
      </c>
      <c r="O26" s="195"/>
      <c r="P26" s="195"/>
      <c r="Q26" s="25">
        <f t="shared" si="25"/>
        <v>3629290.9</v>
      </c>
      <c r="R26" s="195">
        <v>1380921.05</v>
      </c>
      <c r="S26" s="25">
        <f t="shared" si="26"/>
        <v>2038304.8399999999</v>
      </c>
      <c r="T26" s="25">
        <f t="shared" si="22"/>
        <v>2059123</v>
      </c>
      <c r="U26" s="25">
        <f t="shared" si="27"/>
        <v>2371315.54</v>
      </c>
      <c r="V26" s="25">
        <f t="shared" si="23"/>
        <v>2649749.5099999998</v>
      </c>
      <c r="W26" s="25">
        <v>4593726.4000000004</v>
      </c>
      <c r="X26" s="25">
        <f t="shared" si="4"/>
        <v>1943976.8900000006</v>
      </c>
      <c r="Y26" s="25">
        <f t="shared" si="24"/>
        <v>1610976.05</v>
      </c>
      <c r="Z26" s="25">
        <v>1806363.42</v>
      </c>
      <c r="AA26" s="25">
        <f t="shared" si="5"/>
        <v>195387.36999999988</v>
      </c>
      <c r="AB26" s="25">
        <v>2055127.93</v>
      </c>
      <c r="AC26" s="202">
        <v>902</v>
      </c>
      <c r="AD26" s="194">
        <v>3266316.61</v>
      </c>
      <c r="AE26" s="195">
        <v>362974.29</v>
      </c>
      <c r="AF26" s="194">
        <v>1834458.69</v>
      </c>
      <c r="AG26" s="194">
        <v>1736417.57</v>
      </c>
      <c r="AH26" s="195">
        <v>203846.15</v>
      </c>
      <c r="AI26" s="195">
        <v>322705.43</v>
      </c>
      <c r="AJ26" s="194">
        <v>2134115.89</v>
      </c>
      <c r="AK26" s="194">
        <v>2315980.09</v>
      </c>
      <c r="AL26" s="195">
        <v>237199.65</v>
      </c>
      <c r="AM26" s="195">
        <v>333769.42</v>
      </c>
      <c r="AN26" s="195">
        <v>1397612.55</v>
      </c>
      <c r="AO26" s="195">
        <v>213363.5</v>
      </c>
    </row>
    <row r="27" spans="1:41">
      <c r="A27" s="171" t="s">
        <v>38</v>
      </c>
      <c r="B27" s="30" t="s">
        <v>131</v>
      </c>
      <c r="C27" s="16">
        <v>19.2</v>
      </c>
      <c r="D27" s="16"/>
      <c r="E27" s="25">
        <v>19200</v>
      </c>
      <c r="F27" s="116">
        <f>E27/1000</f>
        <v>19.2</v>
      </c>
      <c r="G27" s="116">
        <f>F27-C27</f>
        <v>0</v>
      </c>
      <c r="H27" s="114"/>
      <c r="I27" s="114">
        <v>4024.2</v>
      </c>
      <c r="J27" s="114"/>
      <c r="K27" s="131">
        <v>0</v>
      </c>
      <c r="L27" s="195">
        <f>AD27+AE27</f>
        <v>18575928</v>
      </c>
      <c r="M27" s="195">
        <f t="shared" si="28"/>
        <v>18575928</v>
      </c>
      <c r="N27" s="195">
        <v>0</v>
      </c>
      <c r="O27" s="195"/>
      <c r="P27" s="195"/>
      <c r="Q27" s="25">
        <f t="shared" si="25"/>
        <v>18575928</v>
      </c>
      <c r="R27" s="195">
        <v>80995</v>
      </c>
      <c r="S27" s="25">
        <f t="shared" si="26"/>
        <v>91927</v>
      </c>
      <c r="T27" s="25">
        <f t="shared" si="22"/>
        <v>50302</v>
      </c>
      <c r="U27" s="25">
        <f t="shared" si="27"/>
        <v>93599</v>
      </c>
      <c r="V27" s="25">
        <f t="shared" si="23"/>
        <v>51912</v>
      </c>
      <c r="W27" s="25">
        <v>45969</v>
      </c>
      <c r="X27" s="25">
        <f t="shared" si="4"/>
        <v>-5943</v>
      </c>
      <c r="Y27" s="25">
        <f t="shared" si="24"/>
        <v>51236</v>
      </c>
      <c r="Z27" s="25">
        <f>67254344+48479</f>
        <v>67302823</v>
      </c>
      <c r="AA27" s="25">
        <f t="shared" si="5"/>
        <v>67251587</v>
      </c>
      <c r="AB27" s="25">
        <v>45245</v>
      </c>
      <c r="AC27" s="202">
        <v>907</v>
      </c>
      <c r="AD27" s="194">
        <f>59209+16659126</f>
        <v>16718335</v>
      </c>
      <c r="AE27" s="195">
        <f>6579+1851014</f>
        <v>1857593</v>
      </c>
      <c r="AF27" s="194">
        <v>59209</v>
      </c>
      <c r="AG27" s="194">
        <v>45272</v>
      </c>
      <c r="AH27" s="195">
        <f>26139+6579</f>
        <v>32718</v>
      </c>
      <c r="AI27" s="195">
        <v>5030</v>
      </c>
      <c r="AJ27" s="194">
        <v>62063</v>
      </c>
      <c r="AK27" s="194">
        <v>47759</v>
      </c>
      <c r="AL27" s="195">
        <f>26139+5397</f>
        <v>31536</v>
      </c>
      <c r="AM27" s="195">
        <v>4153</v>
      </c>
      <c r="AN27" s="195">
        <v>44575</v>
      </c>
      <c r="AO27" s="195">
        <v>6661</v>
      </c>
    </row>
    <row r="28" spans="1:41" ht="59.25" hidden="1" customHeight="1">
      <c r="A28" s="115" t="s">
        <v>78</v>
      </c>
      <c r="B28" s="118" t="s">
        <v>125</v>
      </c>
      <c r="C28" s="25">
        <v>10592.8</v>
      </c>
      <c r="D28" s="25"/>
      <c r="E28" s="25">
        <v>10592830</v>
      </c>
      <c r="F28" s="116">
        <f>E28/1000</f>
        <v>10592.83</v>
      </c>
      <c r="G28" s="116">
        <f>F28-C28</f>
        <v>3.0000000000654836E-2</v>
      </c>
      <c r="H28" s="114"/>
      <c r="I28" s="114">
        <v>5000</v>
      </c>
      <c r="J28" s="114"/>
      <c r="K28" s="131">
        <v>10000</v>
      </c>
      <c r="L28" s="195">
        <f>AD28+AE28</f>
        <v>0</v>
      </c>
      <c r="M28" s="195">
        <f t="shared" si="28"/>
        <v>-10000</v>
      </c>
      <c r="N28" s="195">
        <v>0</v>
      </c>
      <c r="O28" s="195"/>
      <c r="P28" s="195"/>
      <c r="Q28" s="25">
        <f t="shared" si="25"/>
        <v>0</v>
      </c>
      <c r="R28" s="195">
        <v>0</v>
      </c>
      <c r="S28" s="25">
        <f t="shared" si="26"/>
        <v>0</v>
      </c>
      <c r="T28" s="25">
        <f t="shared" si="22"/>
        <v>0</v>
      </c>
      <c r="U28" s="25">
        <f t="shared" si="27"/>
        <v>0</v>
      </c>
      <c r="V28" s="25">
        <f t="shared" si="23"/>
        <v>0</v>
      </c>
      <c r="W28" s="25"/>
      <c r="X28" s="25">
        <f t="shared" si="4"/>
        <v>0</v>
      </c>
      <c r="Y28" s="25">
        <f t="shared" si="24"/>
        <v>0</v>
      </c>
      <c r="Z28" s="25"/>
      <c r="AA28" s="25">
        <f t="shared" si="5"/>
        <v>0</v>
      </c>
      <c r="AB28" s="25"/>
      <c r="AC28" s="202">
        <v>902</v>
      </c>
      <c r="AD28" s="194"/>
      <c r="AE28" s="195"/>
      <c r="AF28" s="194"/>
      <c r="AG28" s="194"/>
      <c r="AH28" s="195"/>
      <c r="AI28" s="195"/>
      <c r="AJ28" s="194"/>
      <c r="AK28" s="194"/>
      <c r="AL28" s="195"/>
      <c r="AM28" s="195"/>
      <c r="AN28" s="195"/>
      <c r="AO28" s="195"/>
    </row>
    <row r="29" spans="1:41" ht="27.75" customHeight="1">
      <c r="A29" s="171" t="s">
        <v>39</v>
      </c>
      <c r="B29" s="30" t="s">
        <v>59</v>
      </c>
      <c r="C29" s="25">
        <v>19852.8</v>
      </c>
      <c r="D29" s="25"/>
      <c r="E29" s="25">
        <v>19852840.23</v>
      </c>
      <c r="F29" s="116">
        <f>E29/1000</f>
        <v>19852.840230000002</v>
      </c>
      <c r="G29" s="116">
        <f>F29-C29</f>
        <v>4.0230000002338784E-2</v>
      </c>
      <c r="H29" s="114"/>
      <c r="I29" s="114">
        <v>17176</v>
      </c>
      <c r="J29" s="114"/>
      <c r="K29" s="131">
        <v>0</v>
      </c>
      <c r="L29" s="195">
        <f>AD29+AE29</f>
        <v>11649400.41</v>
      </c>
      <c r="M29" s="195">
        <f t="shared" si="28"/>
        <v>11649400.41</v>
      </c>
      <c r="N29" s="195">
        <v>0</v>
      </c>
      <c r="O29" s="195"/>
      <c r="P29" s="195"/>
      <c r="Q29" s="25">
        <f t="shared" si="25"/>
        <v>11649400.41</v>
      </c>
      <c r="R29" s="195">
        <v>16941187.739999998</v>
      </c>
      <c r="S29" s="25">
        <f t="shared" si="26"/>
        <v>18472315.27</v>
      </c>
      <c r="T29" s="25">
        <f t="shared" si="22"/>
        <v>14256928.82</v>
      </c>
      <c r="U29" s="25">
        <f t="shared" si="27"/>
        <v>0</v>
      </c>
      <c r="V29" s="25">
        <f t="shared" si="23"/>
        <v>0</v>
      </c>
      <c r="W29" s="25">
        <v>17911089.109999999</v>
      </c>
      <c r="X29" s="25">
        <f t="shared" si="4"/>
        <v>17911089.109999999</v>
      </c>
      <c r="Y29" s="25">
        <f t="shared" si="24"/>
        <v>0</v>
      </c>
      <c r="Z29" s="25">
        <v>16374385.25</v>
      </c>
      <c r="AA29" s="25">
        <f t="shared" si="5"/>
        <v>16374385.25</v>
      </c>
      <c r="AB29" s="25">
        <v>15721643.529999999</v>
      </c>
      <c r="AC29" s="202">
        <v>905</v>
      </c>
      <c r="AD29" s="116">
        <v>11532906.15</v>
      </c>
      <c r="AE29" s="195">
        <v>116494.26</v>
      </c>
      <c r="AF29" s="194">
        <v>18287591.640000001</v>
      </c>
      <c r="AG29" s="194">
        <v>13208704.34</v>
      </c>
      <c r="AH29" s="195">
        <v>184723.63</v>
      </c>
      <c r="AI29" s="195">
        <f>585033.63+463190.85</f>
        <v>1048224.48</v>
      </c>
      <c r="AJ29" s="194"/>
      <c r="AK29" s="194"/>
      <c r="AL29" s="195"/>
      <c r="AM29" s="195"/>
      <c r="AN29" s="195"/>
      <c r="AO29" s="195"/>
    </row>
    <row r="30" spans="1:41" ht="24.75">
      <c r="A30" s="119" t="s">
        <v>40</v>
      </c>
      <c r="B30" s="120" t="s">
        <v>24</v>
      </c>
      <c r="C30" s="25"/>
      <c r="D30" s="25"/>
      <c r="E30" s="25"/>
      <c r="F30" s="116">
        <f>E30/1000</f>
        <v>0</v>
      </c>
      <c r="G30" s="116">
        <f>F30-C30</f>
        <v>0</v>
      </c>
      <c r="H30" s="114"/>
      <c r="I30" s="114"/>
      <c r="J30" s="114"/>
      <c r="K30" s="131">
        <v>0</v>
      </c>
      <c r="L30" s="195">
        <f>AD30+AE30</f>
        <v>0</v>
      </c>
      <c r="M30" s="195">
        <f t="shared" si="28"/>
        <v>0</v>
      </c>
      <c r="N30" s="195">
        <v>0</v>
      </c>
      <c r="O30" s="195"/>
      <c r="P30" s="195"/>
      <c r="Q30" s="25">
        <f t="shared" si="25"/>
        <v>0</v>
      </c>
      <c r="R30" s="195">
        <v>0</v>
      </c>
      <c r="S30" s="25">
        <f t="shared" si="26"/>
        <v>0</v>
      </c>
      <c r="T30" s="25">
        <f t="shared" si="26"/>
        <v>0</v>
      </c>
      <c r="U30" s="25">
        <f t="shared" si="27"/>
        <v>0</v>
      </c>
      <c r="V30" s="25">
        <f t="shared" si="27"/>
        <v>0</v>
      </c>
      <c r="W30" s="25"/>
      <c r="X30" s="25">
        <f t="shared" si="4"/>
        <v>0</v>
      </c>
      <c r="Y30" s="25">
        <f t="shared" si="24"/>
        <v>0</v>
      </c>
      <c r="Z30" s="25"/>
      <c r="AA30" s="25">
        <f t="shared" si="5"/>
        <v>0</v>
      </c>
      <c r="AB30" s="25"/>
      <c r="AC30" s="202"/>
      <c r="AD30" s="194"/>
      <c r="AE30" s="195"/>
      <c r="AF30" s="194"/>
      <c r="AG30" s="194"/>
      <c r="AH30" s="195"/>
      <c r="AI30" s="195"/>
      <c r="AJ30" s="194"/>
      <c r="AK30" s="194"/>
      <c r="AL30" s="195"/>
      <c r="AM30" s="195"/>
      <c r="AN30" s="195"/>
      <c r="AO30" s="195"/>
    </row>
    <row r="31" spans="1:41">
      <c r="A31" s="216" t="s">
        <v>42</v>
      </c>
      <c r="B31" s="220" t="s">
        <v>20</v>
      </c>
      <c r="C31" s="24">
        <f>C32+C33+C38+C40+C47+C34+C39+C48+C50+C51</f>
        <v>7052.7</v>
      </c>
      <c r="D31" s="24">
        <f>D32+D33+D38+D40+D47+D34+D39+D48+D50+D51</f>
        <v>0</v>
      </c>
      <c r="E31" s="24">
        <f>E32+E33+E38+E40+E47+E34+E39+E48+E50+E51</f>
        <v>7052716.3899999997</v>
      </c>
      <c r="F31" s="24">
        <f>F32+F33+F38+F40+F47+F34+F39+F48+F50+F51</f>
        <v>6973.7163900000005</v>
      </c>
      <c r="G31" s="24">
        <f>G32+G33+G38+G40+G47+G34+G39+G48+G50+G51</f>
        <v>1.6390000000068738E-2</v>
      </c>
      <c r="H31" s="15">
        <f>SUM(H32:H51)</f>
        <v>0</v>
      </c>
      <c r="I31" s="15">
        <f>SUM(I32:I51)</f>
        <v>6369.8</v>
      </c>
      <c r="J31" s="15">
        <f>SUM(J32:J51)</f>
        <v>0</v>
      </c>
      <c r="K31" s="218">
        <f>SUM(K32:K51)</f>
        <v>0</v>
      </c>
      <c r="L31" s="24">
        <f>SUM(L32:L51)</f>
        <v>19991584.880000003</v>
      </c>
      <c r="M31" s="219">
        <f t="shared" si="28"/>
        <v>19991584.880000003</v>
      </c>
      <c r="N31" s="24">
        <f>SUM(N32:N51)</f>
        <v>0</v>
      </c>
      <c r="O31" s="24"/>
      <c r="P31" s="24"/>
      <c r="Q31" s="24">
        <f t="shared" ref="Q31:W31" si="29">SUM(Q32:Q51)</f>
        <v>32531745.879999999</v>
      </c>
      <c r="R31" s="24">
        <f t="shared" si="29"/>
        <v>5042820</v>
      </c>
      <c r="S31" s="24">
        <f t="shared" si="29"/>
        <v>29178869</v>
      </c>
      <c r="T31" s="24">
        <f>SUM(T32:T51)</f>
        <v>23778832.559999999</v>
      </c>
      <c r="U31" s="24">
        <f t="shared" si="29"/>
        <v>32006323</v>
      </c>
      <c r="V31" s="24">
        <f t="shared" si="29"/>
        <v>38851056</v>
      </c>
      <c r="W31" s="24">
        <f t="shared" si="29"/>
        <v>32157620</v>
      </c>
      <c r="X31" s="25">
        <f t="shared" si="4"/>
        <v>-6693436</v>
      </c>
      <c r="Y31" s="24">
        <f>SUM(Y32:Y51)</f>
        <v>65725456</v>
      </c>
      <c r="Z31" s="24">
        <f>SUM(Z32:Z51)</f>
        <v>5523860.2000000002</v>
      </c>
      <c r="AA31" s="24">
        <f>SUM(AA32:AA51)</f>
        <v>-60586215.799999997</v>
      </c>
      <c r="AB31" s="24">
        <f>SUM(AB32:AB51)</f>
        <v>3285695.5</v>
      </c>
      <c r="AC31" s="24"/>
      <c r="AD31" s="24">
        <f t="shared" ref="AD31:AO31" si="30">SUM(AD32:AD51)</f>
        <v>0</v>
      </c>
      <c r="AE31" s="24">
        <f t="shared" si="30"/>
        <v>32531745.879999999</v>
      </c>
      <c r="AF31" s="24">
        <f t="shared" si="30"/>
        <v>0</v>
      </c>
      <c r="AG31" s="24">
        <f t="shared" si="30"/>
        <v>0</v>
      </c>
      <c r="AH31" s="24">
        <f t="shared" si="30"/>
        <v>29178869</v>
      </c>
      <c r="AI31" s="24">
        <f t="shared" si="30"/>
        <v>23778832.559999999</v>
      </c>
      <c r="AJ31" s="24">
        <f t="shared" si="30"/>
        <v>0</v>
      </c>
      <c r="AK31" s="24">
        <f t="shared" si="30"/>
        <v>0</v>
      </c>
      <c r="AL31" s="24">
        <f t="shared" si="30"/>
        <v>32006323</v>
      </c>
      <c r="AM31" s="24">
        <f t="shared" si="30"/>
        <v>38851056</v>
      </c>
      <c r="AN31" s="24">
        <f t="shared" si="30"/>
        <v>0</v>
      </c>
      <c r="AO31" s="24">
        <f t="shared" si="30"/>
        <v>65725456</v>
      </c>
    </row>
    <row r="32" spans="1:41" ht="14.45" customHeight="1">
      <c r="A32" s="171"/>
      <c r="B32" s="30" t="s">
        <v>21</v>
      </c>
      <c r="C32" s="25">
        <f>3236+2126</f>
        <v>5362</v>
      </c>
      <c r="D32" s="25"/>
      <c r="E32" s="25">
        <f>3236000+2126000</f>
        <v>5362000</v>
      </c>
      <c r="F32" s="116">
        <f>E32/1000</f>
        <v>5362</v>
      </c>
      <c r="G32" s="116">
        <f>F32-C32</f>
        <v>0</v>
      </c>
      <c r="H32" s="114"/>
      <c r="I32" s="114">
        <v>5412</v>
      </c>
      <c r="J32" s="114"/>
      <c r="K32" s="131">
        <v>0</v>
      </c>
      <c r="L32" s="195">
        <f>AD32+AE32</f>
        <v>2314762</v>
      </c>
      <c r="M32" s="195">
        <f t="shared" si="28"/>
        <v>2314762</v>
      </c>
      <c r="N32" s="195">
        <v>0</v>
      </c>
      <c r="O32" s="195"/>
      <c r="P32" s="195"/>
      <c r="Q32" s="25">
        <f>AD32+AE32</f>
        <v>2314762</v>
      </c>
      <c r="R32" s="195">
        <v>1173820</v>
      </c>
      <c r="S32" s="25">
        <f t="shared" ref="S32:T48" si="31">AF32+AH32</f>
        <v>1157381</v>
      </c>
      <c r="T32" s="25">
        <f t="shared" si="31"/>
        <v>2291000</v>
      </c>
      <c r="U32" s="25">
        <f t="shared" ref="U32:V48" si="32">AJ32+AL32</f>
        <v>1157381</v>
      </c>
      <c r="V32" s="25">
        <f t="shared" si="32"/>
        <v>2291000</v>
      </c>
      <c r="W32" s="25">
        <v>2158000</v>
      </c>
      <c r="X32" s="25">
        <f t="shared" si="4"/>
        <v>-133000</v>
      </c>
      <c r="Y32" s="25">
        <f t="shared" ref="Y32:Y50" si="33">AN32+AO32</f>
        <v>2291000</v>
      </c>
      <c r="Z32" s="25">
        <v>1079000</v>
      </c>
      <c r="AA32" s="25">
        <f t="shared" si="5"/>
        <v>-1212000</v>
      </c>
      <c r="AB32" s="25">
        <v>719000</v>
      </c>
      <c r="AC32" s="202">
        <v>906</v>
      </c>
      <c r="AD32" s="194"/>
      <c r="AE32" s="195">
        <f>2314762</f>
        <v>2314762</v>
      </c>
      <c r="AF32" s="194"/>
      <c r="AG32" s="194"/>
      <c r="AH32" s="195">
        <f>1157381</f>
        <v>1157381</v>
      </c>
      <c r="AI32" s="195">
        <v>2291000</v>
      </c>
      <c r="AJ32" s="194"/>
      <c r="AK32" s="194"/>
      <c r="AL32" s="195">
        <f>1157381</f>
        <v>1157381</v>
      </c>
      <c r="AM32" s="195">
        <v>2291000</v>
      </c>
      <c r="AN32" s="195"/>
      <c r="AO32" s="195">
        <v>2291000</v>
      </c>
    </row>
    <row r="33" spans="1:41" ht="30.75" customHeight="1">
      <c r="A33" s="171"/>
      <c r="B33" s="30" t="s">
        <v>123</v>
      </c>
      <c r="C33" s="25">
        <v>500</v>
      </c>
      <c r="D33" s="25"/>
      <c r="E33" s="25">
        <v>500000</v>
      </c>
      <c r="F33" s="116">
        <f>E33/1000</f>
        <v>500</v>
      </c>
      <c r="G33" s="116">
        <f>F33-C33</f>
        <v>0</v>
      </c>
      <c r="H33" s="114"/>
      <c r="I33" s="114">
        <v>543.79999999999995</v>
      </c>
      <c r="J33" s="114"/>
      <c r="K33" s="131">
        <v>0</v>
      </c>
      <c r="L33" s="195">
        <f>AD33+AE33</f>
        <v>7945000</v>
      </c>
      <c r="M33" s="195">
        <f t="shared" si="28"/>
        <v>7945000</v>
      </c>
      <c r="N33" s="195">
        <v>0</v>
      </c>
      <c r="O33" s="195"/>
      <c r="P33" s="195"/>
      <c r="Q33" s="25">
        <f>AD33+AE33</f>
        <v>7945000</v>
      </c>
      <c r="R33" s="195">
        <v>1700000</v>
      </c>
      <c r="S33" s="25">
        <f t="shared" si="31"/>
        <v>4295000</v>
      </c>
      <c r="T33" s="25">
        <f t="shared" si="31"/>
        <v>6495000</v>
      </c>
      <c r="U33" s="25">
        <f t="shared" si="32"/>
        <v>3795000</v>
      </c>
      <c r="V33" s="25">
        <f t="shared" si="32"/>
        <v>5991000</v>
      </c>
      <c r="W33" s="25">
        <v>2986500</v>
      </c>
      <c r="X33" s="25">
        <f t="shared" si="4"/>
        <v>-3004500</v>
      </c>
      <c r="Y33" s="25">
        <f t="shared" si="33"/>
        <v>7991000</v>
      </c>
      <c r="Z33" s="25">
        <v>1991000</v>
      </c>
      <c r="AA33" s="25">
        <f t="shared" si="5"/>
        <v>-6000000</v>
      </c>
      <c r="AB33" s="25">
        <v>995500</v>
      </c>
      <c r="AC33" s="202">
        <v>906</v>
      </c>
      <c r="AD33" s="194"/>
      <c r="AE33" s="195">
        <v>7945000</v>
      </c>
      <c r="AF33" s="194"/>
      <c r="AG33" s="194"/>
      <c r="AH33" s="195">
        <v>4295000</v>
      </c>
      <c r="AI33" s="195">
        <f>3441000+3054000</f>
        <v>6495000</v>
      </c>
      <c r="AJ33" s="194"/>
      <c r="AK33" s="194"/>
      <c r="AL33" s="195">
        <v>3795000</v>
      </c>
      <c r="AM33" s="195">
        <v>5991000</v>
      </c>
      <c r="AN33" s="195"/>
      <c r="AO33" s="195">
        <v>7991000</v>
      </c>
    </row>
    <row r="34" spans="1:41" ht="23.25" customHeight="1">
      <c r="A34" s="171"/>
      <c r="B34" s="40" t="s">
        <v>120</v>
      </c>
      <c r="C34" s="25"/>
      <c r="D34" s="25"/>
      <c r="E34" s="25"/>
      <c r="F34" s="116">
        <f>E34/1000</f>
        <v>0</v>
      </c>
      <c r="G34" s="116">
        <f>F34-C34</f>
        <v>0</v>
      </c>
      <c r="H34" s="114"/>
      <c r="I34" s="114"/>
      <c r="J34" s="114"/>
      <c r="K34" s="131">
        <v>0</v>
      </c>
      <c r="L34" s="195">
        <f>AD34+AE34</f>
        <v>0</v>
      </c>
      <c r="M34" s="195">
        <f t="shared" si="28"/>
        <v>0</v>
      </c>
      <c r="N34" s="195">
        <v>0</v>
      </c>
      <c r="O34" s="195"/>
      <c r="P34" s="195"/>
      <c r="Q34" s="25">
        <f>AD34+AE34</f>
        <v>0</v>
      </c>
      <c r="R34" s="195">
        <v>0</v>
      </c>
      <c r="S34" s="25">
        <f t="shared" si="31"/>
        <v>1767100</v>
      </c>
      <c r="T34" s="25">
        <f t="shared" si="31"/>
        <v>1388900</v>
      </c>
      <c r="U34" s="25">
        <f t="shared" si="32"/>
        <v>0</v>
      </c>
      <c r="V34" s="25">
        <f t="shared" si="32"/>
        <v>0</v>
      </c>
      <c r="W34" s="25">
        <v>0</v>
      </c>
      <c r="X34" s="25">
        <f t="shared" si="4"/>
        <v>0</v>
      </c>
      <c r="Y34" s="25">
        <f t="shared" si="33"/>
        <v>0</v>
      </c>
      <c r="Z34" s="25">
        <v>0</v>
      </c>
      <c r="AA34" s="25">
        <f t="shared" si="5"/>
        <v>0</v>
      </c>
      <c r="AB34" s="25">
        <v>0</v>
      </c>
      <c r="AC34" s="202">
        <v>905</v>
      </c>
      <c r="AD34" s="194"/>
      <c r="AE34" s="195"/>
      <c r="AF34" s="194"/>
      <c r="AG34" s="194"/>
      <c r="AH34" s="195">
        <v>1767100</v>
      </c>
      <c r="AI34" s="195">
        <v>1388900</v>
      </c>
      <c r="AJ34" s="194"/>
      <c r="AK34" s="194"/>
      <c r="AL34" s="195"/>
      <c r="AM34" s="195"/>
      <c r="AN34" s="195"/>
      <c r="AO34" s="195">
        <v>0</v>
      </c>
    </row>
    <row r="35" spans="1:41" ht="23.25" customHeight="1">
      <c r="A35" s="171"/>
      <c r="B35" s="40" t="s">
        <v>187</v>
      </c>
      <c r="C35" s="25"/>
      <c r="D35" s="25"/>
      <c r="E35" s="25"/>
      <c r="F35" s="116"/>
      <c r="G35" s="116"/>
      <c r="H35" s="114"/>
      <c r="I35" s="114"/>
      <c r="J35" s="114"/>
      <c r="K35" s="131"/>
      <c r="L35" s="195"/>
      <c r="M35" s="195"/>
      <c r="N35" s="195"/>
      <c r="O35" s="195"/>
      <c r="P35" s="195"/>
      <c r="Q35" s="25"/>
      <c r="R35" s="195"/>
      <c r="S35" s="25"/>
      <c r="T35" s="25">
        <f t="shared" si="31"/>
        <v>0</v>
      </c>
      <c r="U35" s="25"/>
      <c r="V35" s="25">
        <f t="shared" si="32"/>
        <v>0</v>
      </c>
      <c r="W35" s="25">
        <v>0</v>
      </c>
      <c r="X35" s="25">
        <f t="shared" si="4"/>
        <v>0</v>
      </c>
      <c r="Y35" s="25">
        <f t="shared" si="33"/>
        <v>0</v>
      </c>
      <c r="Z35" s="25">
        <v>157740.20000000001</v>
      </c>
      <c r="AA35" s="25">
        <f t="shared" si="5"/>
        <v>157740.20000000001</v>
      </c>
      <c r="AB35" s="25">
        <v>109075.5</v>
      </c>
      <c r="AC35" s="202">
        <v>905</v>
      </c>
      <c r="AD35" s="194"/>
      <c r="AE35" s="195"/>
      <c r="AF35" s="194"/>
      <c r="AG35" s="194"/>
      <c r="AH35" s="195"/>
      <c r="AI35" s="195"/>
      <c r="AJ35" s="194"/>
      <c r="AK35" s="194"/>
      <c r="AL35" s="195"/>
      <c r="AM35" s="195"/>
      <c r="AN35" s="195"/>
      <c r="AO35" s="195"/>
    </row>
    <row r="36" spans="1:41" ht="36.75" customHeight="1">
      <c r="A36" s="171"/>
      <c r="B36" s="40" t="s">
        <v>172</v>
      </c>
      <c r="C36" s="25"/>
      <c r="D36" s="25"/>
      <c r="E36" s="25"/>
      <c r="F36" s="116"/>
      <c r="G36" s="116"/>
      <c r="H36" s="114"/>
      <c r="I36" s="114"/>
      <c r="J36" s="114"/>
      <c r="K36" s="131"/>
      <c r="L36" s="195"/>
      <c r="M36" s="195"/>
      <c r="N36" s="195"/>
      <c r="O36" s="195"/>
      <c r="P36" s="195"/>
      <c r="Q36" s="25">
        <f t="shared" ref="Q36:Q48" si="34">AD36+AE36</f>
        <v>0</v>
      </c>
      <c r="R36" s="195"/>
      <c r="S36" s="25">
        <f t="shared" ref="S36:S48" si="35">AF36+AH36</f>
        <v>8000000</v>
      </c>
      <c r="T36" s="25">
        <f t="shared" si="31"/>
        <v>8000000</v>
      </c>
      <c r="U36" s="25">
        <f t="shared" ref="U36:U48" si="36">AJ36+AL36</f>
        <v>21010000</v>
      </c>
      <c r="V36" s="25">
        <f t="shared" si="32"/>
        <v>21114000</v>
      </c>
      <c r="W36" s="25">
        <v>23849000</v>
      </c>
      <c r="X36" s="25">
        <f t="shared" si="4"/>
        <v>2735000</v>
      </c>
      <c r="Y36" s="25">
        <f t="shared" si="33"/>
        <v>0</v>
      </c>
      <c r="Z36" s="25">
        <v>0</v>
      </c>
      <c r="AA36" s="25">
        <f t="shared" si="5"/>
        <v>0</v>
      </c>
      <c r="AB36" s="25">
        <v>0</v>
      </c>
      <c r="AC36" s="202">
        <v>905</v>
      </c>
      <c r="AD36" s="194"/>
      <c r="AE36" s="195"/>
      <c r="AF36" s="194"/>
      <c r="AG36" s="194"/>
      <c r="AH36" s="195">
        <v>8000000</v>
      </c>
      <c r="AI36" s="195">
        <v>8000000</v>
      </c>
      <c r="AJ36" s="194"/>
      <c r="AK36" s="194"/>
      <c r="AL36" s="195">
        <v>21010000</v>
      </c>
      <c r="AM36" s="195">
        <v>21114000</v>
      </c>
      <c r="AN36" s="195"/>
      <c r="AO36" s="195"/>
    </row>
    <row r="37" spans="1:41" ht="24.75">
      <c r="A37" s="171"/>
      <c r="B37" s="121" t="s">
        <v>88</v>
      </c>
      <c r="C37" s="25"/>
      <c r="D37" s="25"/>
      <c r="E37" s="25"/>
      <c r="F37" s="116"/>
      <c r="G37" s="116"/>
      <c r="H37" s="114"/>
      <c r="I37" s="114"/>
      <c r="J37" s="114"/>
      <c r="K37" s="131">
        <v>0</v>
      </c>
      <c r="L37" s="195">
        <f>AD37+AE37</f>
        <v>5001000</v>
      </c>
      <c r="M37" s="195">
        <f>L37-K37</f>
        <v>5001000</v>
      </c>
      <c r="N37" s="195">
        <v>0</v>
      </c>
      <c r="O37" s="195"/>
      <c r="P37" s="195"/>
      <c r="Q37" s="25">
        <f t="shared" si="34"/>
        <v>5001000</v>
      </c>
      <c r="R37" s="195">
        <v>1500000</v>
      </c>
      <c r="S37" s="25">
        <f t="shared" si="35"/>
        <v>2701000</v>
      </c>
      <c r="T37" s="25">
        <f t="shared" si="31"/>
        <v>3834000</v>
      </c>
      <c r="U37" s="25">
        <f t="shared" si="36"/>
        <v>2988900</v>
      </c>
      <c r="V37" s="25">
        <f t="shared" si="32"/>
        <v>4334000</v>
      </c>
      <c r="W37" s="25">
        <v>2502000</v>
      </c>
      <c r="X37" s="25">
        <f t="shared" si="4"/>
        <v>-1832000</v>
      </c>
      <c r="Y37" s="25">
        <f t="shared" si="33"/>
        <v>4584000</v>
      </c>
      <c r="Z37" s="25">
        <v>1668000</v>
      </c>
      <c r="AA37" s="25">
        <f t="shared" si="5"/>
        <v>-2916000</v>
      </c>
      <c r="AB37" s="25">
        <v>834000</v>
      </c>
      <c r="AC37" s="202">
        <v>906</v>
      </c>
      <c r="AD37" s="194"/>
      <c r="AE37" s="195">
        <v>5001000</v>
      </c>
      <c r="AF37" s="194"/>
      <c r="AG37" s="194"/>
      <c r="AH37" s="195">
        <v>2701000</v>
      </c>
      <c r="AI37" s="195">
        <v>3834000</v>
      </c>
      <c r="AJ37" s="194"/>
      <c r="AK37" s="194"/>
      <c r="AL37" s="195">
        <v>2988900</v>
      </c>
      <c r="AM37" s="195">
        <v>4334000</v>
      </c>
      <c r="AN37" s="195"/>
      <c r="AO37" s="195">
        <v>4584000</v>
      </c>
    </row>
    <row r="38" spans="1:41" ht="15" customHeight="1">
      <c r="A38" s="171"/>
      <c r="B38" s="30" t="s">
        <v>89</v>
      </c>
      <c r="C38" s="25">
        <v>508.9</v>
      </c>
      <c r="D38" s="25"/>
      <c r="E38" s="25">
        <v>508947.39</v>
      </c>
      <c r="F38" s="116">
        <f>E38/1000</f>
        <v>508.94739000000004</v>
      </c>
      <c r="G38" s="116">
        <f>F38-C38</f>
        <v>4.7390000000063992E-2</v>
      </c>
      <c r="H38" s="114"/>
      <c r="I38" s="114">
        <v>111</v>
      </c>
      <c r="J38" s="114"/>
      <c r="K38" s="131">
        <v>0</v>
      </c>
      <c r="L38" s="195">
        <f>AD38+AE38</f>
        <v>182000</v>
      </c>
      <c r="M38" s="195">
        <f>L38-K38</f>
        <v>182000</v>
      </c>
      <c r="N38" s="195">
        <v>0</v>
      </c>
      <c r="O38" s="195"/>
      <c r="P38" s="195"/>
      <c r="Q38" s="25">
        <f t="shared" si="34"/>
        <v>182000</v>
      </c>
      <c r="R38" s="195">
        <v>109000</v>
      </c>
      <c r="S38" s="25">
        <f t="shared" si="35"/>
        <v>109000</v>
      </c>
      <c r="T38" s="25">
        <f t="shared" si="31"/>
        <v>173000</v>
      </c>
      <c r="U38" s="25">
        <f t="shared" si="36"/>
        <v>109000</v>
      </c>
      <c r="V38" s="25">
        <f t="shared" si="32"/>
        <v>173000</v>
      </c>
      <c r="W38" s="25">
        <v>166000</v>
      </c>
      <c r="X38" s="25">
        <f t="shared" si="4"/>
        <v>-7000</v>
      </c>
      <c r="Y38" s="25">
        <f t="shared" si="33"/>
        <v>173000</v>
      </c>
      <c r="Z38" s="25">
        <v>132000</v>
      </c>
      <c r="AA38" s="25">
        <f t="shared" si="5"/>
        <v>-41000</v>
      </c>
      <c r="AB38" s="25">
        <v>132000</v>
      </c>
      <c r="AC38" s="202">
        <v>902</v>
      </c>
      <c r="AD38" s="194"/>
      <c r="AE38" s="195">
        <v>182000</v>
      </c>
      <c r="AF38" s="194"/>
      <c r="AG38" s="194"/>
      <c r="AH38" s="195">
        <v>109000</v>
      </c>
      <c r="AI38" s="195">
        <v>173000</v>
      </c>
      <c r="AJ38" s="194"/>
      <c r="AK38" s="194"/>
      <c r="AL38" s="195">
        <v>109000</v>
      </c>
      <c r="AM38" s="195">
        <v>173000</v>
      </c>
      <c r="AN38" s="195"/>
      <c r="AO38" s="195">
        <v>173000</v>
      </c>
    </row>
    <row r="39" spans="1:41" ht="42.75" customHeight="1">
      <c r="A39" s="171"/>
      <c r="B39" s="30" t="s">
        <v>31</v>
      </c>
      <c r="C39" s="16">
        <v>31.3</v>
      </c>
      <c r="D39" s="16"/>
      <c r="E39" s="25">
        <v>31250</v>
      </c>
      <c r="F39" s="116">
        <f>E39/1000</f>
        <v>31.25</v>
      </c>
      <c r="G39" s="116">
        <f>F39-C39</f>
        <v>-5.0000000000000711E-2</v>
      </c>
      <c r="H39" s="114"/>
      <c r="I39" s="114">
        <v>32</v>
      </c>
      <c r="J39" s="114"/>
      <c r="K39" s="131">
        <v>0</v>
      </c>
      <c r="L39" s="195">
        <f>AD39+AE39</f>
        <v>144000</v>
      </c>
      <c r="M39" s="195">
        <f>L39-K39</f>
        <v>144000</v>
      </c>
      <c r="N39" s="195">
        <v>0</v>
      </c>
      <c r="O39" s="195"/>
      <c r="P39" s="195"/>
      <c r="Q39" s="25">
        <f t="shared" si="34"/>
        <v>144000</v>
      </c>
      <c r="R39" s="195">
        <v>105000</v>
      </c>
      <c r="S39" s="25">
        <f t="shared" si="35"/>
        <v>144000</v>
      </c>
      <c r="T39" s="25">
        <f t="shared" si="31"/>
        <v>144000</v>
      </c>
      <c r="U39" s="25">
        <f t="shared" si="36"/>
        <v>144000</v>
      </c>
      <c r="V39" s="25">
        <f t="shared" si="32"/>
        <v>144000</v>
      </c>
      <c r="W39" s="25">
        <v>111500</v>
      </c>
      <c r="X39" s="25">
        <f t="shared" si="4"/>
        <v>-32500</v>
      </c>
      <c r="Y39" s="25">
        <f t="shared" si="33"/>
        <v>144000</v>
      </c>
      <c r="Z39" s="25">
        <v>111500</v>
      </c>
      <c r="AA39" s="25">
        <f t="shared" si="5"/>
        <v>-32500</v>
      </c>
      <c r="AB39" s="25">
        <v>111500</v>
      </c>
      <c r="AC39" s="202">
        <v>902</v>
      </c>
      <c r="AD39" s="194"/>
      <c r="AE39" s="195">
        <v>144000</v>
      </c>
      <c r="AF39" s="194"/>
      <c r="AG39" s="194"/>
      <c r="AH39" s="195">
        <v>144000</v>
      </c>
      <c r="AI39" s="195">
        <v>144000</v>
      </c>
      <c r="AJ39" s="194"/>
      <c r="AK39" s="194"/>
      <c r="AL39" s="195">
        <v>144000</v>
      </c>
      <c r="AM39" s="195">
        <v>144000</v>
      </c>
      <c r="AN39" s="195"/>
      <c r="AO39" s="195">
        <v>144000</v>
      </c>
    </row>
    <row r="40" spans="1:41" ht="24">
      <c r="A40" s="171"/>
      <c r="B40" s="165" t="s">
        <v>28</v>
      </c>
      <c r="C40" s="16">
        <v>571.5</v>
      </c>
      <c r="D40" s="16"/>
      <c r="E40" s="25">
        <v>571519</v>
      </c>
      <c r="F40" s="116">
        <f>E40/1000</f>
        <v>571.51900000000001</v>
      </c>
      <c r="G40" s="116">
        <f>F40-C40</f>
        <v>1.9000000000005457E-2</v>
      </c>
      <c r="H40" s="114"/>
      <c r="I40" s="114">
        <v>271</v>
      </c>
      <c r="J40" s="114"/>
      <c r="K40" s="131">
        <v>0</v>
      </c>
      <c r="L40" s="195">
        <f>AD40+AE40</f>
        <v>387324</v>
      </c>
      <c r="M40" s="195">
        <f>L40-K40</f>
        <v>387324</v>
      </c>
      <c r="N40" s="195">
        <v>0</v>
      </c>
      <c r="O40" s="195"/>
      <c r="P40" s="195"/>
      <c r="Q40" s="25">
        <f t="shared" si="34"/>
        <v>387324</v>
      </c>
      <c r="R40" s="195">
        <v>455000</v>
      </c>
      <c r="S40" s="25">
        <f t="shared" si="35"/>
        <v>387324</v>
      </c>
      <c r="T40" s="25">
        <f t="shared" si="31"/>
        <v>384620</v>
      </c>
      <c r="U40" s="25">
        <f t="shared" si="36"/>
        <v>387324</v>
      </c>
      <c r="V40" s="25">
        <f t="shared" si="32"/>
        <v>384620</v>
      </c>
      <c r="W40" s="25">
        <v>384620</v>
      </c>
      <c r="X40" s="25">
        <f t="shared" si="4"/>
        <v>0</v>
      </c>
      <c r="Y40" s="25">
        <f t="shared" si="33"/>
        <v>384620</v>
      </c>
      <c r="Z40" s="25"/>
      <c r="AA40" s="25">
        <f t="shared" si="5"/>
        <v>-384620</v>
      </c>
      <c r="AB40" s="25"/>
      <c r="AC40" s="202">
        <v>902</v>
      </c>
      <c r="AD40" s="194"/>
      <c r="AE40" s="195">
        <v>387324</v>
      </c>
      <c r="AF40" s="194"/>
      <c r="AG40" s="194"/>
      <c r="AH40" s="195">
        <v>387324</v>
      </c>
      <c r="AI40" s="195">
        <v>384620</v>
      </c>
      <c r="AJ40" s="194"/>
      <c r="AK40" s="194"/>
      <c r="AL40" s="195">
        <v>387324</v>
      </c>
      <c r="AM40" s="195">
        <v>384620</v>
      </c>
      <c r="AN40" s="195"/>
      <c r="AO40" s="195">
        <v>384620</v>
      </c>
    </row>
    <row r="41" spans="1:41" ht="24">
      <c r="A41" s="171"/>
      <c r="B41" s="165" t="s">
        <v>211</v>
      </c>
      <c r="C41" s="16"/>
      <c r="D41" s="16"/>
      <c r="E41" s="25"/>
      <c r="F41" s="116"/>
      <c r="G41" s="116"/>
      <c r="H41" s="114"/>
      <c r="I41" s="114"/>
      <c r="J41" s="114"/>
      <c r="K41" s="131"/>
      <c r="L41" s="195"/>
      <c r="M41" s="195"/>
      <c r="N41" s="195"/>
      <c r="O41" s="195"/>
      <c r="P41" s="195"/>
      <c r="Q41" s="25"/>
      <c r="R41" s="195"/>
      <c r="S41" s="25"/>
      <c r="T41" s="25">
        <v>0</v>
      </c>
      <c r="U41" s="25"/>
      <c r="V41" s="25">
        <v>0</v>
      </c>
      <c r="W41" s="25">
        <v>0</v>
      </c>
      <c r="X41" s="25"/>
      <c r="Y41" s="24"/>
      <c r="Z41" s="25">
        <v>384620</v>
      </c>
      <c r="AA41" s="25"/>
      <c r="AB41" s="25">
        <v>384620</v>
      </c>
      <c r="AC41" s="202"/>
      <c r="AD41" s="194"/>
      <c r="AE41" s="195"/>
      <c r="AF41" s="194"/>
      <c r="AG41" s="194"/>
      <c r="AH41" s="195"/>
      <c r="AI41" s="195"/>
      <c r="AJ41" s="194"/>
      <c r="AK41" s="194"/>
      <c r="AL41" s="195"/>
      <c r="AM41" s="195"/>
      <c r="AN41" s="195"/>
      <c r="AO41" s="195"/>
    </row>
    <row r="42" spans="1:41" ht="24">
      <c r="A42" s="171"/>
      <c r="B42" s="165" t="s">
        <v>157</v>
      </c>
      <c r="C42" s="16"/>
      <c r="D42" s="16"/>
      <c r="E42" s="25"/>
      <c r="F42" s="116"/>
      <c r="G42" s="116"/>
      <c r="H42" s="114"/>
      <c r="I42" s="114"/>
      <c r="J42" s="114"/>
      <c r="K42" s="131"/>
      <c r="L42" s="195"/>
      <c r="M42" s="195"/>
      <c r="N42" s="195"/>
      <c r="O42" s="195"/>
      <c r="P42" s="195"/>
      <c r="Q42" s="25">
        <f t="shared" si="34"/>
        <v>0</v>
      </c>
      <c r="R42" s="195"/>
      <c r="S42" s="25">
        <f t="shared" si="35"/>
        <v>5000000</v>
      </c>
      <c r="T42" s="25">
        <f t="shared" si="31"/>
        <v>440000</v>
      </c>
      <c r="U42" s="25">
        <f t="shared" si="36"/>
        <v>0</v>
      </c>
      <c r="V42" s="25">
        <f t="shared" si="32"/>
        <v>0</v>
      </c>
      <c r="W42" s="25">
        <v>0</v>
      </c>
      <c r="X42" s="25">
        <f t="shared" si="4"/>
        <v>0</v>
      </c>
      <c r="Y42" s="25">
        <f t="shared" si="33"/>
        <v>0</v>
      </c>
      <c r="Z42" s="25">
        <v>0</v>
      </c>
      <c r="AA42" s="25">
        <f t="shared" si="5"/>
        <v>0</v>
      </c>
      <c r="AB42" s="25">
        <v>0</v>
      </c>
      <c r="AC42" s="202">
        <v>907</v>
      </c>
      <c r="AD42" s="194"/>
      <c r="AE42" s="195">
        <v>0</v>
      </c>
      <c r="AF42" s="194"/>
      <c r="AG42" s="194"/>
      <c r="AH42" s="195">
        <v>5000000</v>
      </c>
      <c r="AI42" s="195">
        <f>10000000-9560000</f>
        <v>440000</v>
      </c>
      <c r="AJ42" s="194"/>
      <c r="AK42" s="194"/>
      <c r="AL42" s="195"/>
      <c r="AM42" s="195"/>
      <c r="AN42" s="195"/>
      <c r="AO42" s="195"/>
    </row>
    <row r="43" spans="1:41" ht="24">
      <c r="A43" s="171"/>
      <c r="B43" s="165" t="s">
        <v>155</v>
      </c>
      <c r="C43" s="16"/>
      <c r="D43" s="16"/>
      <c r="E43" s="25"/>
      <c r="F43" s="116"/>
      <c r="G43" s="116"/>
      <c r="H43" s="114"/>
      <c r="I43" s="114"/>
      <c r="J43" s="114"/>
      <c r="K43" s="131"/>
      <c r="L43" s="195"/>
      <c r="M43" s="195"/>
      <c r="N43" s="195"/>
      <c r="O43" s="195"/>
      <c r="P43" s="195"/>
      <c r="Q43" s="25">
        <f t="shared" si="34"/>
        <v>10000000</v>
      </c>
      <c r="R43" s="195"/>
      <c r="S43" s="25">
        <f t="shared" si="35"/>
        <v>5000000</v>
      </c>
      <c r="T43" s="25">
        <f t="shared" si="31"/>
        <v>0</v>
      </c>
      <c r="U43" s="25">
        <f t="shared" si="36"/>
        <v>0</v>
      </c>
      <c r="V43" s="25">
        <f t="shared" si="32"/>
        <v>3000000</v>
      </c>
      <c r="W43" s="25">
        <v>0</v>
      </c>
      <c r="X43" s="25">
        <f t="shared" si="4"/>
        <v>-3000000</v>
      </c>
      <c r="Y43" s="25">
        <f t="shared" si="33"/>
        <v>7200000</v>
      </c>
      <c r="Z43" s="25">
        <v>0</v>
      </c>
      <c r="AA43" s="25">
        <f t="shared" si="5"/>
        <v>-7200000</v>
      </c>
      <c r="AB43" s="25">
        <v>0</v>
      </c>
      <c r="AC43" s="202">
        <v>907</v>
      </c>
      <c r="AD43" s="194"/>
      <c r="AE43" s="195">
        <v>10000000</v>
      </c>
      <c r="AF43" s="194"/>
      <c r="AG43" s="194"/>
      <c r="AH43" s="195">
        <v>5000000</v>
      </c>
      <c r="AI43" s="195"/>
      <c r="AJ43" s="194"/>
      <c r="AK43" s="194"/>
      <c r="AL43" s="195"/>
      <c r="AM43" s="195">
        <v>3000000</v>
      </c>
      <c r="AN43" s="195"/>
      <c r="AO43" s="195">
        <v>7200000</v>
      </c>
    </row>
    <row r="44" spans="1:41" ht="24">
      <c r="A44" s="171"/>
      <c r="B44" s="165" t="s">
        <v>156</v>
      </c>
      <c r="C44" s="16"/>
      <c r="D44" s="16"/>
      <c r="E44" s="25"/>
      <c r="F44" s="116"/>
      <c r="G44" s="116"/>
      <c r="H44" s="114"/>
      <c r="I44" s="114"/>
      <c r="J44" s="114"/>
      <c r="K44" s="131"/>
      <c r="L44" s="195"/>
      <c r="M44" s="195"/>
      <c r="N44" s="195"/>
      <c r="O44" s="195"/>
      <c r="P44" s="195"/>
      <c r="Q44" s="25">
        <f t="shared" si="34"/>
        <v>600000</v>
      </c>
      <c r="R44" s="195"/>
      <c r="S44" s="25">
        <f t="shared" si="35"/>
        <v>600000</v>
      </c>
      <c r="T44" s="25">
        <f t="shared" si="31"/>
        <v>471992.56</v>
      </c>
      <c r="U44" s="25">
        <f t="shared" si="36"/>
        <v>600000</v>
      </c>
      <c r="V44" s="25">
        <f t="shared" si="32"/>
        <v>400000</v>
      </c>
      <c r="W44" s="25">
        <v>0</v>
      </c>
      <c r="X44" s="25">
        <f t="shared" si="4"/>
        <v>-400000</v>
      </c>
      <c r="Y44" s="25">
        <f t="shared" si="33"/>
        <v>400000</v>
      </c>
      <c r="Z44" s="25">
        <v>0</v>
      </c>
      <c r="AA44" s="25">
        <f t="shared" si="5"/>
        <v>-400000</v>
      </c>
      <c r="AB44" s="25">
        <v>0</v>
      </c>
      <c r="AC44" s="202">
        <v>906</v>
      </c>
      <c r="AD44" s="194"/>
      <c r="AE44" s="195">
        <v>600000</v>
      </c>
      <c r="AF44" s="194"/>
      <c r="AG44" s="194"/>
      <c r="AH44" s="195">
        <v>600000</v>
      </c>
      <c r="AI44" s="195">
        <f>200000+271992.56</f>
        <v>471992.56</v>
      </c>
      <c r="AJ44" s="194"/>
      <c r="AK44" s="194"/>
      <c r="AL44" s="195">
        <v>600000</v>
      </c>
      <c r="AM44" s="195">
        <v>400000</v>
      </c>
      <c r="AN44" s="195"/>
      <c r="AO44" s="195">
        <v>400000</v>
      </c>
    </row>
    <row r="45" spans="1:41" ht="24" hidden="1">
      <c r="A45" s="171"/>
      <c r="B45" s="165" t="s">
        <v>153</v>
      </c>
      <c r="C45" s="16"/>
      <c r="D45" s="16"/>
      <c r="E45" s="25"/>
      <c r="F45" s="116"/>
      <c r="G45" s="116"/>
      <c r="H45" s="114"/>
      <c r="I45" s="114"/>
      <c r="J45" s="114"/>
      <c r="K45" s="131"/>
      <c r="L45" s="195"/>
      <c r="M45" s="195"/>
      <c r="N45" s="195"/>
      <c r="O45" s="195"/>
      <c r="P45" s="195"/>
      <c r="Q45" s="25">
        <f t="shared" si="34"/>
        <v>0</v>
      </c>
      <c r="R45" s="195"/>
      <c r="S45" s="25">
        <f t="shared" si="35"/>
        <v>0</v>
      </c>
      <c r="T45" s="25">
        <f t="shared" si="31"/>
        <v>0</v>
      </c>
      <c r="U45" s="25">
        <f t="shared" si="36"/>
        <v>1814718</v>
      </c>
      <c r="V45" s="25">
        <f t="shared" si="32"/>
        <v>0</v>
      </c>
      <c r="W45" s="25">
        <v>0</v>
      </c>
      <c r="X45" s="25">
        <f t="shared" si="4"/>
        <v>0</v>
      </c>
      <c r="Y45" s="25">
        <f t="shared" si="33"/>
        <v>0</v>
      </c>
      <c r="Z45" s="25"/>
      <c r="AA45" s="25">
        <f t="shared" si="5"/>
        <v>0</v>
      </c>
      <c r="AB45" s="25"/>
      <c r="AC45" s="202">
        <v>904</v>
      </c>
      <c r="AD45" s="194"/>
      <c r="AE45" s="195"/>
      <c r="AF45" s="194"/>
      <c r="AG45" s="194"/>
      <c r="AH45" s="195"/>
      <c r="AI45" s="195"/>
      <c r="AJ45" s="194"/>
      <c r="AK45" s="194"/>
      <c r="AL45" s="195">
        <v>1814718</v>
      </c>
      <c r="AM45" s="195"/>
      <c r="AN45" s="195"/>
      <c r="AO45" s="195"/>
    </row>
    <row r="46" spans="1:41" ht="24">
      <c r="A46" s="171"/>
      <c r="B46" s="30" t="s">
        <v>175</v>
      </c>
      <c r="C46" s="16"/>
      <c r="D46" s="16"/>
      <c r="E46" s="25"/>
      <c r="F46" s="116"/>
      <c r="G46" s="116"/>
      <c r="H46" s="114"/>
      <c r="I46" s="114"/>
      <c r="J46" s="114"/>
      <c r="K46" s="131"/>
      <c r="L46" s="195"/>
      <c r="M46" s="195"/>
      <c r="N46" s="195"/>
      <c r="O46" s="195"/>
      <c r="P46" s="195"/>
      <c r="Q46" s="25">
        <f t="shared" si="34"/>
        <v>1940161</v>
      </c>
      <c r="R46" s="195"/>
      <c r="S46" s="25">
        <f t="shared" si="35"/>
        <v>0</v>
      </c>
      <c r="T46" s="25">
        <f t="shared" si="31"/>
        <v>0</v>
      </c>
      <c r="U46" s="25">
        <f t="shared" si="36"/>
        <v>0</v>
      </c>
      <c r="V46" s="25">
        <f t="shared" si="32"/>
        <v>1000000</v>
      </c>
      <c r="W46" s="25">
        <v>0</v>
      </c>
      <c r="X46" s="25">
        <f t="shared" si="4"/>
        <v>-1000000</v>
      </c>
      <c r="Y46" s="25">
        <f t="shared" si="33"/>
        <v>538400</v>
      </c>
      <c r="Z46" s="25">
        <v>0</v>
      </c>
      <c r="AA46" s="25">
        <f t="shared" si="5"/>
        <v>-538400</v>
      </c>
      <c r="AB46" s="25">
        <v>0</v>
      </c>
      <c r="AC46" s="202">
        <v>907</v>
      </c>
      <c r="AD46" s="194"/>
      <c r="AE46" s="195">
        <v>1940161</v>
      </c>
      <c r="AF46" s="194"/>
      <c r="AG46" s="194"/>
      <c r="AH46" s="195"/>
      <c r="AI46" s="195"/>
      <c r="AJ46" s="194"/>
      <c r="AK46" s="194"/>
      <c r="AL46" s="195"/>
      <c r="AM46" s="195">
        <v>1000000</v>
      </c>
      <c r="AN46" s="195"/>
      <c r="AO46" s="195">
        <v>538400</v>
      </c>
    </row>
    <row r="47" spans="1:41" ht="37.5" customHeight="1">
      <c r="A47" s="171"/>
      <c r="B47" s="165" t="s">
        <v>170</v>
      </c>
      <c r="C47" s="16"/>
      <c r="D47" s="16"/>
      <c r="E47" s="25"/>
      <c r="F47" s="116">
        <f>E47/1000</f>
        <v>0</v>
      </c>
      <c r="G47" s="116">
        <f>F47-C47</f>
        <v>0</v>
      </c>
      <c r="H47" s="114"/>
      <c r="I47" s="114"/>
      <c r="J47" s="114"/>
      <c r="K47" s="131"/>
      <c r="L47" s="195">
        <f>AD47+AE47</f>
        <v>17498.88</v>
      </c>
      <c r="M47" s="195">
        <f>L47-K47</f>
        <v>17498.88</v>
      </c>
      <c r="N47" s="195">
        <v>0</v>
      </c>
      <c r="O47" s="195"/>
      <c r="P47" s="195"/>
      <c r="Q47" s="25">
        <f t="shared" si="34"/>
        <v>17498.88</v>
      </c>
      <c r="R47" s="195">
        <v>0</v>
      </c>
      <c r="S47" s="25">
        <f t="shared" si="35"/>
        <v>18064</v>
      </c>
      <c r="T47" s="25">
        <f t="shared" si="31"/>
        <v>19320</v>
      </c>
      <c r="U47" s="25">
        <f t="shared" si="36"/>
        <v>0</v>
      </c>
      <c r="V47" s="25">
        <f t="shared" si="32"/>
        <v>19436</v>
      </c>
      <c r="W47" s="25">
        <v>0</v>
      </c>
      <c r="X47" s="25">
        <f t="shared" si="4"/>
        <v>-19436</v>
      </c>
      <c r="Y47" s="25">
        <f t="shared" si="33"/>
        <v>19436</v>
      </c>
      <c r="Z47" s="25">
        <v>0</v>
      </c>
      <c r="AA47" s="25">
        <f t="shared" si="5"/>
        <v>-19436</v>
      </c>
      <c r="AB47" s="25">
        <v>0</v>
      </c>
      <c r="AC47" s="202">
        <v>907</v>
      </c>
      <c r="AD47" s="194"/>
      <c r="AE47" s="195">
        <f>18064-565.12</f>
        <v>17498.88</v>
      </c>
      <c r="AF47" s="194"/>
      <c r="AG47" s="194"/>
      <c r="AH47" s="195">
        <v>18064</v>
      </c>
      <c r="AI47" s="195">
        <v>19320</v>
      </c>
      <c r="AJ47" s="194"/>
      <c r="AK47" s="194"/>
      <c r="AL47" s="195"/>
      <c r="AM47" s="195">
        <v>19436</v>
      </c>
      <c r="AN47" s="195"/>
      <c r="AO47" s="195">
        <v>19436</v>
      </c>
    </row>
    <row r="48" spans="1:41" ht="24" hidden="1">
      <c r="A48" s="171"/>
      <c r="B48" s="165" t="s">
        <v>163</v>
      </c>
      <c r="C48" s="16"/>
      <c r="D48" s="16"/>
      <c r="E48" s="25"/>
      <c r="F48" s="116">
        <f>E48/1000</f>
        <v>0</v>
      </c>
      <c r="G48" s="116">
        <f>F48-C48</f>
        <v>0</v>
      </c>
      <c r="H48" s="114"/>
      <c r="I48" s="114"/>
      <c r="J48" s="114"/>
      <c r="K48" s="131"/>
      <c r="L48" s="195">
        <f>AD48+AE48</f>
        <v>4000000</v>
      </c>
      <c r="M48" s="195">
        <f>L48-K48</f>
        <v>4000000</v>
      </c>
      <c r="N48" s="195">
        <v>0</v>
      </c>
      <c r="O48" s="195"/>
      <c r="P48" s="195"/>
      <c r="Q48" s="25">
        <f t="shared" si="34"/>
        <v>4000000</v>
      </c>
      <c r="R48" s="195">
        <v>0</v>
      </c>
      <c r="S48" s="25">
        <f t="shared" si="35"/>
        <v>0</v>
      </c>
      <c r="T48" s="25">
        <f t="shared" si="31"/>
        <v>0</v>
      </c>
      <c r="U48" s="25">
        <f t="shared" si="36"/>
        <v>0</v>
      </c>
      <c r="V48" s="25">
        <f t="shared" si="32"/>
        <v>0</v>
      </c>
      <c r="W48" s="25"/>
      <c r="X48" s="25">
        <f t="shared" si="4"/>
        <v>0</v>
      </c>
      <c r="Y48" s="25">
        <f t="shared" si="33"/>
        <v>0</v>
      </c>
      <c r="Z48" s="25"/>
      <c r="AA48" s="25">
        <f t="shared" si="5"/>
        <v>0</v>
      </c>
      <c r="AB48" s="25"/>
      <c r="AC48" s="202">
        <v>905</v>
      </c>
      <c r="AD48" s="194"/>
      <c r="AE48" s="195">
        <v>4000000</v>
      </c>
      <c r="AF48" s="194"/>
      <c r="AG48" s="194"/>
      <c r="AH48" s="195"/>
      <c r="AI48" s="195"/>
      <c r="AJ48" s="194"/>
      <c r="AK48" s="194"/>
      <c r="AL48" s="195"/>
      <c r="AM48" s="195"/>
      <c r="AN48" s="195"/>
      <c r="AO48" s="195"/>
    </row>
    <row r="49" spans="1:41" ht="36">
      <c r="A49" s="171"/>
      <c r="B49" s="165" t="s">
        <v>195</v>
      </c>
      <c r="C49" s="16"/>
      <c r="D49" s="16"/>
      <c r="E49" s="25"/>
      <c r="F49" s="116"/>
      <c r="G49" s="116"/>
      <c r="H49" s="114"/>
      <c r="I49" s="114"/>
      <c r="J49" s="114"/>
      <c r="K49" s="131"/>
      <c r="L49" s="195"/>
      <c r="M49" s="195"/>
      <c r="N49" s="195"/>
      <c r="O49" s="195"/>
      <c r="P49" s="195"/>
      <c r="Q49" s="25"/>
      <c r="R49" s="195"/>
      <c r="S49" s="25"/>
      <c r="T49" s="25">
        <f t="shared" ref="T49:T51" si="37">AG49+AI49</f>
        <v>137000</v>
      </c>
      <c r="U49" s="25"/>
      <c r="V49" s="25">
        <f t="shared" ref="V49:W51" si="38">AK49+AM49</f>
        <v>0</v>
      </c>
      <c r="W49" s="25">
        <v>0</v>
      </c>
      <c r="X49" s="25">
        <f t="shared" si="4"/>
        <v>0</v>
      </c>
      <c r="Y49" s="25">
        <f t="shared" si="33"/>
        <v>2000000</v>
      </c>
      <c r="Z49" s="25">
        <v>0</v>
      </c>
      <c r="AA49" s="25">
        <f t="shared" si="5"/>
        <v>-2000000</v>
      </c>
      <c r="AB49" s="25">
        <v>0</v>
      </c>
      <c r="AC49" s="202">
        <v>907</v>
      </c>
      <c r="AD49" s="194"/>
      <c r="AE49" s="195"/>
      <c r="AF49" s="194"/>
      <c r="AG49" s="194"/>
      <c r="AH49" s="195"/>
      <c r="AI49" s="195">
        <v>137000</v>
      </c>
      <c r="AJ49" s="194"/>
      <c r="AK49" s="194"/>
      <c r="AL49" s="195"/>
      <c r="AM49" s="195"/>
      <c r="AN49" s="195"/>
      <c r="AO49" s="195">
        <v>2000000</v>
      </c>
    </row>
    <row r="50" spans="1:41" ht="24">
      <c r="A50" s="171"/>
      <c r="B50" s="165" t="s">
        <v>193</v>
      </c>
      <c r="C50" s="16"/>
      <c r="D50" s="16"/>
      <c r="E50" s="25"/>
      <c r="F50" s="116">
        <f>E50/1000</f>
        <v>0</v>
      </c>
      <c r="G50" s="116">
        <f>F50-C50</f>
        <v>0</v>
      </c>
      <c r="H50" s="114"/>
      <c r="I50" s="114"/>
      <c r="J50" s="114"/>
      <c r="K50" s="131"/>
      <c r="L50" s="195">
        <f>AD50+AE50</f>
        <v>0</v>
      </c>
      <c r="M50" s="195">
        <f>L50-K50</f>
        <v>0</v>
      </c>
      <c r="N50" s="195">
        <v>0</v>
      </c>
      <c r="O50" s="195"/>
      <c r="P50" s="195"/>
      <c r="Q50" s="25">
        <f>AD50+AE50</f>
        <v>0</v>
      </c>
      <c r="R50" s="195">
        <v>0</v>
      </c>
      <c r="S50" s="25">
        <f>AF50+AH50</f>
        <v>0</v>
      </c>
      <c r="T50" s="25">
        <f t="shared" si="37"/>
        <v>0</v>
      </c>
      <c r="U50" s="25">
        <f>AJ50+AL50</f>
        <v>0</v>
      </c>
      <c r="V50" s="25">
        <f t="shared" si="38"/>
        <v>0</v>
      </c>
      <c r="W50" s="25">
        <v>0</v>
      </c>
      <c r="X50" s="25">
        <f t="shared" si="4"/>
        <v>0</v>
      </c>
      <c r="Y50" s="25">
        <f t="shared" si="33"/>
        <v>32000000</v>
      </c>
      <c r="Z50" s="25">
        <v>0</v>
      </c>
      <c r="AA50" s="25">
        <f t="shared" si="5"/>
        <v>-32000000</v>
      </c>
      <c r="AB50" s="25">
        <v>0</v>
      </c>
      <c r="AC50" s="202">
        <v>905</v>
      </c>
      <c r="AD50" s="194"/>
      <c r="AE50" s="195"/>
      <c r="AF50" s="194"/>
      <c r="AG50" s="194"/>
      <c r="AH50" s="195"/>
      <c r="AI50" s="195"/>
      <c r="AJ50" s="194"/>
      <c r="AK50" s="194"/>
      <c r="AL50" s="195"/>
      <c r="AM50" s="195"/>
      <c r="AN50" s="195"/>
      <c r="AO50" s="195">
        <v>32000000</v>
      </c>
    </row>
    <row r="51" spans="1:41" ht="24">
      <c r="A51" s="171"/>
      <c r="B51" s="165" t="s">
        <v>194</v>
      </c>
      <c r="C51" s="16">
        <v>79</v>
      </c>
      <c r="D51" s="16"/>
      <c r="E51" s="25">
        <v>79000</v>
      </c>
      <c r="F51" s="116"/>
      <c r="G51" s="116"/>
      <c r="H51" s="114"/>
      <c r="I51" s="114"/>
      <c r="J51" s="114"/>
      <c r="K51" s="131"/>
      <c r="L51" s="195">
        <f>AD51+AE51</f>
        <v>0</v>
      </c>
      <c r="M51" s="195">
        <f>L51-K51</f>
        <v>0</v>
      </c>
      <c r="N51" s="195">
        <v>0</v>
      </c>
      <c r="O51" s="195"/>
      <c r="P51" s="195"/>
      <c r="Q51" s="25">
        <f>AD51+AE51</f>
        <v>0</v>
      </c>
      <c r="R51" s="195">
        <v>0</v>
      </c>
      <c r="S51" s="25">
        <f>AF51+AH51</f>
        <v>0</v>
      </c>
      <c r="T51" s="25">
        <f t="shared" si="37"/>
        <v>0</v>
      </c>
      <c r="U51" s="25">
        <f>AJ51+AL51</f>
        <v>0</v>
      </c>
      <c r="V51" s="25">
        <f t="shared" si="38"/>
        <v>0</v>
      </c>
      <c r="W51" s="25">
        <f t="shared" si="38"/>
        <v>0</v>
      </c>
      <c r="X51" s="25">
        <f t="shared" si="4"/>
        <v>0</v>
      </c>
      <c r="Y51" s="25">
        <f t="shared" ref="Y51" si="39">AM51+AO51</f>
        <v>8000000</v>
      </c>
      <c r="Z51" s="25">
        <v>0</v>
      </c>
      <c r="AA51" s="25">
        <f t="shared" si="5"/>
        <v>-8000000</v>
      </c>
      <c r="AB51" s="25">
        <v>0</v>
      </c>
      <c r="AC51" s="202">
        <v>907</v>
      </c>
      <c r="AD51" s="194"/>
      <c r="AE51" s="195"/>
      <c r="AF51" s="194"/>
      <c r="AG51" s="194"/>
      <c r="AH51" s="195"/>
      <c r="AI51" s="195"/>
      <c r="AJ51" s="194"/>
      <c r="AK51" s="194"/>
      <c r="AL51" s="195"/>
      <c r="AM51" s="195"/>
      <c r="AN51" s="195"/>
      <c r="AO51" s="195">
        <v>8000000</v>
      </c>
    </row>
    <row r="52" spans="1:41" ht="16.899999999999999" customHeight="1">
      <c r="A52" s="216" t="s">
        <v>43</v>
      </c>
      <c r="B52" s="217" t="s">
        <v>3</v>
      </c>
      <c r="C52" s="221">
        <f>C53+C65+C66+C67+C69</f>
        <v>726424</v>
      </c>
      <c r="D52" s="221">
        <f>D53+D65+D66+D67+D69</f>
        <v>0</v>
      </c>
      <c r="E52" s="221">
        <f>E53+E65+E66+E67+E69</f>
        <v>726423994</v>
      </c>
      <c r="F52" s="221">
        <f>F53+F65+F66+F67+F69</f>
        <v>726423.99399999995</v>
      </c>
      <c r="G52" s="221">
        <f>G53+G65+G66+G67+G69</f>
        <v>-6.0000000003128662E-3</v>
      </c>
      <c r="H52" s="221">
        <f t="shared" ref="H52:N52" si="40">H53+H65+H66+H67+H69+H70</f>
        <v>608092</v>
      </c>
      <c r="I52" s="221">
        <f t="shared" si="40"/>
        <v>774941</v>
      </c>
      <c r="J52" s="221">
        <f t="shared" si="40"/>
        <v>696541</v>
      </c>
      <c r="K52" s="222">
        <f t="shared" si="40"/>
        <v>545714</v>
      </c>
      <c r="L52" s="204">
        <f t="shared" si="40"/>
        <v>969493522</v>
      </c>
      <c r="M52" s="204">
        <f t="shared" si="40"/>
        <v>968947808</v>
      </c>
      <c r="N52" s="204">
        <f t="shared" si="40"/>
        <v>417933</v>
      </c>
      <c r="O52" s="204"/>
      <c r="P52" s="204"/>
      <c r="Q52" s="24">
        <f t="shared" ref="Q52:AB52" si="41">Q53+Q65+Q66+Q67+Q68+Q69+Q70</f>
        <v>971011622</v>
      </c>
      <c r="R52" s="24">
        <f t="shared" si="41"/>
        <v>891169400</v>
      </c>
      <c r="S52" s="24">
        <f t="shared" si="41"/>
        <v>964498001</v>
      </c>
      <c r="T52" s="24">
        <f t="shared" si="41"/>
        <v>998967969</v>
      </c>
      <c r="U52" s="24">
        <f t="shared" si="41"/>
        <v>1119375814</v>
      </c>
      <c r="V52" s="24">
        <f t="shared" si="41"/>
        <v>997120000</v>
      </c>
      <c r="W52" s="24">
        <f t="shared" si="41"/>
        <v>1046379200</v>
      </c>
      <c r="X52" s="25">
        <f t="shared" si="4"/>
        <v>49259200</v>
      </c>
      <c r="Y52" s="24">
        <f t="shared" si="41"/>
        <v>1012203500</v>
      </c>
      <c r="Z52" s="24">
        <f t="shared" si="41"/>
        <v>1041546500</v>
      </c>
      <c r="AA52" s="25">
        <f t="shared" si="5"/>
        <v>29343000</v>
      </c>
      <c r="AB52" s="24">
        <f t="shared" si="41"/>
        <v>1043156500</v>
      </c>
      <c r="AC52" s="24"/>
      <c r="AD52" s="24">
        <f t="shared" ref="AD52:AO52" si="42">AD53+AD65+AD66+AD67+AD68+AD69+AD70</f>
        <v>3714622</v>
      </c>
      <c r="AE52" s="24">
        <f t="shared" si="42"/>
        <v>967297000</v>
      </c>
      <c r="AF52" s="24">
        <f t="shared" si="42"/>
        <v>14210001</v>
      </c>
      <c r="AG52" s="24">
        <f t="shared" si="42"/>
        <v>4515100</v>
      </c>
      <c r="AH52" s="24">
        <f t="shared" si="42"/>
        <v>950288000</v>
      </c>
      <c r="AI52" s="24">
        <f t="shared" si="42"/>
        <v>994452869</v>
      </c>
      <c r="AJ52" s="24">
        <f t="shared" si="42"/>
        <v>14886814</v>
      </c>
      <c r="AK52" s="24">
        <f t="shared" si="42"/>
        <v>5833000</v>
      </c>
      <c r="AL52" s="24">
        <f t="shared" si="42"/>
        <v>1104489000</v>
      </c>
      <c r="AM52" s="24">
        <f t="shared" si="42"/>
        <v>991287000</v>
      </c>
      <c r="AN52" s="24">
        <f t="shared" si="42"/>
        <v>5713500</v>
      </c>
      <c r="AO52" s="24">
        <f t="shared" si="42"/>
        <v>1006490000</v>
      </c>
    </row>
    <row r="53" spans="1:41" ht="24.6" customHeight="1">
      <c r="A53" s="216" t="s">
        <v>44</v>
      </c>
      <c r="B53" s="217" t="s">
        <v>4</v>
      </c>
      <c r="C53" s="221">
        <f>SUM(C54:C64)</f>
        <v>691386</v>
      </c>
      <c r="D53" s="221">
        <f>SUM(D54:D64)</f>
        <v>0</v>
      </c>
      <c r="E53" s="204">
        <f>SUM(E54:E64)</f>
        <v>691386000</v>
      </c>
      <c r="F53" s="223">
        <f t="shared" ref="F53:F58" si="43">E53/1000</f>
        <v>691386</v>
      </c>
      <c r="G53" s="223">
        <f t="shared" ref="G53:G58" si="44">F53-C53</f>
        <v>0</v>
      </c>
      <c r="H53" s="221">
        <f t="shared" ref="H53:N53" si="45">SUM(H54:H64)</f>
        <v>576319</v>
      </c>
      <c r="I53" s="221">
        <f t="shared" si="45"/>
        <v>739626</v>
      </c>
      <c r="J53" s="221">
        <f t="shared" si="45"/>
        <v>662922</v>
      </c>
      <c r="K53" s="222">
        <f t="shared" si="45"/>
        <v>510529</v>
      </c>
      <c r="L53" s="204">
        <f t="shared" si="45"/>
        <v>917883000</v>
      </c>
      <c r="M53" s="204">
        <f t="shared" si="45"/>
        <v>917372471</v>
      </c>
      <c r="N53" s="204">
        <f t="shared" si="45"/>
        <v>383394</v>
      </c>
      <c r="O53" s="204"/>
      <c r="P53" s="204"/>
      <c r="Q53" s="24">
        <f t="shared" ref="Q53:AB53" si="46">SUM(Q54:Q64)</f>
        <v>919397000</v>
      </c>
      <c r="R53" s="24">
        <f t="shared" si="46"/>
        <v>800982000</v>
      </c>
      <c r="S53" s="24">
        <f t="shared" si="46"/>
        <v>867867000</v>
      </c>
      <c r="T53" s="24">
        <f t="shared" si="46"/>
        <v>950035000</v>
      </c>
      <c r="U53" s="24">
        <f t="shared" si="46"/>
        <v>1021364000</v>
      </c>
      <c r="V53" s="24">
        <f t="shared" si="46"/>
        <v>936600000</v>
      </c>
      <c r="W53" s="24">
        <f t="shared" si="46"/>
        <v>989795000</v>
      </c>
      <c r="X53" s="25">
        <f t="shared" si="4"/>
        <v>53195000</v>
      </c>
      <c r="Y53" s="24">
        <f t="shared" si="46"/>
        <v>952542000</v>
      </c>
      <c r="Z53" s="24">
        <f t="shared" si="46"/>
        <v>984655000</v>
      </c>
      <c r="AA53" s="25">
        <f t="shared" si="5"/>
        <v>32113000</v>
      </c>
      <c r="AB53" s="24">
        <f t="shared" si="46"/>
        <v>986412000</v>
      </c>
      <c r="AC53" s="24"/>
      <c r="AD53" s="24">
        <f t="shared" ref="AD53:AO53" si="47">SUM(AD54:AD64)</f>
        <v>0</v>
      </c>
      <c r="AE53" s="24">
        <f t="shared" si="47"/>
        <v>919397000</v>
      </c>
      <c r="AF53" s="24">
        <f t="shared" si="47"/>
        <v>0</v>
      </c>
      <c r="AG53" s="24">
        <f t="shared" si="47"/>
        <v>0</v>
      </c>
      <c r="AH53" s="24">
        <f t="shared" si="47"/>
        <v>867867000</v>
      </c>
      <c r="AI53" s="24">
        <f t="shared" si="47"/>
        <v>950035000</v>
      </c>
      <c r="AJ53" s="24">
        <f t="shared" si="47"/>
        <v>0</v>
      </c>
      <c r="AK53" s="24">
        <f t="shared" si="47"/>
        <v>0</v>
      </c>
      <c r="AL53" s="24">
        <f t="shared" si="47"/>
        <v>1021364000</v>
      </c>
      <c r="AM53" s="24">
        <f t="shared" si="47"/>
        <v>936600000</v>
      </c>
      <c r="AN53" s="24">
        <f t="shared" si="47"/>
        <v>0</v>
      </c>
      <c r="AO53" s="24">
        <f t="shared" si="47"/>
        <v>952542000</v>
      </c>
    </row>
    <row r="54" spans="1:41" ht="60.75" customHeight="1">
      <c r="A54" s="171"/>
      <c r="B54" s="165" t="s">
        <v>5</v>
      </c>
      <c r="C54" s="122">
        <v>386036</v>
      </c>
      <c r="D54" s="123"/>
      <c r="E54" s="124">
        <v>386036000</v>
      </c>
      <c r="F54" s="116">
        <f t="shared" si="43"/>
        <v>386036</v>
      </c>
      <c r="G54" s="116">
        <f t="shared" si="44"/>
        <v>0</v>
      </c>
      <c r="H54" s="114">
        <v>334797</v>
      </c>
      <c r="I54" s="114">
        <v>430728</v>
      </c>
      <c r="J54" s="114">
        <v>385292</v>
      </c>
      <c r="K54" s="131">
        <v>300084</v>
      </c>
      <c r="L54" s="195">
        <f>AD54+AE54</f>
        <v>536533000</v>
      </c>
      <c r="M54" s="195">
        <f>L54-K54</f>
        <v>536232916</v>
      </c>
      <c r="N54" s="195">
        <v>224097</v>
      </c>
      <c r="O54" s="195"/>
      <c r="P54" s="195"/>
      <c r="Q54" s="25">
        <f t="shared" ref="Q54:Q70" si="48">AD54+AE54</f>
        <v>536533000</v>
      </c>
      <c r="R54" s="195">
        <v>449375000</v>
      </c>
      <c r="S54" s="25">
        <f t="shared" ref="S54:T69" si="49">AF54+AH54</f>
        <v>490287000</v>
      </c>
      <c r="T54" s="25">
        <f t="shared" si="49"/>
        <v>554322000</v>
      </c>
      <c r="U54" s="25">
        <f t="shared" ref="U54:V69" si="50">AJ54+AL54</f>
        <v>591491000</v>
      </c>
      <c r="V54" s="25">
        <f t="shared" si="50"/>
        <v>552742000</v>
      </c>
      <c r="W54" s="25">
        <v>607976000</v>
      </c>
      <c r="X54" s="25">
        <f t="shared" si="4"/>
        <v>55234000</v>
      </c>
      <c r="Y54" s="25">
        <f t="shared" ref="Y54:Y69" si="51">AN54+AO54</f>
        <v>558436000</v>
      </c>
      <c r="Z54" s="25">
        <v>607976000</v>
      </c>
      <c r="AA54" s="25">
        <f t="shared" si="5"/>
        <v>49540000</v>
      </c>
      <c r="AB54" s="25">
        <v>607976000</v>
      </c>
      <c r="AC54" s="202">
        <v>906</v>
      </c>
      <c r="AD54" s="194"/>
      <c r="AE54" s="195">
        <v>536533000</v>
      </c>
      <c r="AF54" s="194"/>
      <c r="AG54" s="194"/>
      <c r="AH54" s="195">
        <v>490287000</v>
      </c>
      <c r="AI54" s="195">
        <v>554322000</v>
      </c>
      <c r="AJ54" s="194"/>
      <c r="AK54" s="194"/>
      <c r="AL54" s="195">
        <v>591491000</v>
      </c>
      <c r="AM54" s="195">
        <v>552742000</v>
      </c>
      <c r="AN54" s="195"/>
      <c r="AO54" s="195">
        <v>558436000</v>
      </c>
    </row>
    <row r="55" spans="1:41" ht="39.75" customHeight="1">
      <c r="A55" s="171"/>
      <c r="B55" s="165" t="s">
        <v>6</v>
      </c>
      <c r="C55" s="122">
        <v>295813</v>
      </c>
      <c r="D55" s="123"/>
      <c r="E55" s="124">
        <v>295813000</v>
      </c>
      <c r="F55" s="116">
        <f t="shared" si="43"/>
        <v>295813</v>
      </c>
      <c r="G55" s="116">
        <f t="shared" si="44"/>
        <v>0</v>
      </c>
      <c r="H55" s="114">
        <v>231806</v>
      </c>
      <c r="I55" s="114">
        <v>299172</v>
      </c>
      <c r="J55" s="114">
        <v>267660</v>
      </c>
      <c r="K55" s="131">
        <v>199795</v>
      </c>
      <c r="L55" s="195">
        <f>AD55+AE55</f>
        <v>362453000</v>
      </c>
      <c r="M55" s="195">
        <f>L55-K55</f>
        <v>362253205</v>
      </c>
      <c r="N55" s="195">
        <v>148579</v>
      </c>
      <c r="O55" s="195"/>
      <c r="P55" s="195"/>
      <c r="Q55" s="25">
        <f t="shared" si="48"/>
        <v>362453000</v>
      </c>
      <c r="R55" s="195">
        <v>339524000</v>
      </c>
      <c r="S55" s="25">
        <f t="shared" si="49"/>
        <v>357193000</v>
      </c>
      <c r="T55" s="25">
        <f t="shared" si="49"/>
        <v>370796000</v>
      </c>
      <c r="U55" s="25">
        <f t="shared" si="50"/>
        <v>409103000</v>
      </c>
      <c r="V55" s="25">
        <f t="shared" si="50"/>
        <v>353326000</v>
      </c>
      <c r="W55" s="25">
        <v>358716000</v>
      </c>
      <c r="X55" s="25">
        <f t="shared" si="4"/>
        <v>5390000</v>
      </c>
      <c r="Y55" s="25">
        <f t="shared" si="51"/>
        <v>362897000</v>
      </c>
      <c r="Z55" s="25">
        <v>353289000</v>
      </c>
      <c r="AA55" s="25">
        <f t="shared" si="5"/>
        <v>-9608000</v>
      </c>
      <c r="AB55" s="25">
        <v>354747000</v>
      </c>
      <c r="AC55" s="202">
        <v>906</v>
      </c>
      <c r="AD55" s="194"/>
      <c r="AE55" s="195">
        <v>362453000</v>
      </c>
      <c r="AF55" s="194"/>
      <c r="AG55" s="194"/>
      <c r="AH55" s="195">
        <v>357193000</v>
      </c>
      <c r="AI55" s="195">
        <v>370796000</v>
      </c>
      <c r="AJ55" s="194"/>
      <c r="AK55" s="194"/>
      <c r="AL55" s="195">
        <v>409103000</v>
      </c>
      <c r="AM55" s="195">
        <v>353326000</v>
      </c>
      <c r="AN55" s="195"/>
      <c r="AO55" s="195">
        <v>362897000</v>
      </c>
    </row>
    <row r="56" spans="1:41" ht="26.25" customHeight="1">
      <c r="A56" s="171"/>
      <c r="B56" s="165" t="s">
        <v>7</v>
      </c>
      <c r="C56" s="122">
        <v>6199</v>
      </c>
      <c r="D56" s="123"/>
      <c r="E56" s="124">
        <v>6199000</v>
      </c>
      <c r="F56" s="116">
        <f t="shared" si="43"/>
        <v>6199</v>
      </c>
      <c r="G56" s="116">
        <f t="shared" si="44"/>
        <v>0</v>
      </c>
      <c r="H56" s="114">
        <v>6291</v>
      </c>
      <c r="I56" s="114">
        <v>6291</v>
      </c>
      <c r="J56" s="114">
        <v>6463</v>
      </c>
      <c r="K56" s="131">
        <v>5889</v>
      </c>
      <c r="L56" s="195">
        <f>AD56+AE56</f>
        <v>7478000</v>
      </c>
      <c r="M56" s="195">
        <f>L56-K56</f>
        <v>7472111</v>
      </c>
      <c r="N56" s="195">
        <v>5889</v>
      </c>
      <c r="O56" s="195"/>
      <c r="P56" s="195"/>
      <c r="Q56" s="25">
        <f t="shared" si="48"/>
        <v>7478000</v>
      </c>
      <c r="R56" s="195">
        <v>6515000</v>
      </c>
      <c r="S56" s="25">
        <f t="shared" si="49"/>
        <v>7478000</v>
      </c>
      <c r="T56" s="25">
        <f t="shared" si="49"/>
        <v>8714000</v>
      </c>
      <c r="U56" s="25">
        <f t="shared" si="50"/>
        <v>7478000</v>
      </c>
      <c r="V56" s="25">
        <f t="shared" si="50"/>
        <v>8714000</v>
      </c>
      <c r="W56" s="25">
        <v>9759000</v>
      </c>
      <c r="X56" s="25">
        <f t="shared" si="4"/>
        <v>1045000</v>
      </c>
      <c r="Y56" s="25">
        <f t="shared" si="51"/>
        <v>8714000</v>
      </c>
      <c r="Z56" s="25">
        <v>9759000</v>
      </c>
      <c r="AA56" s="25">
        <f t="shared" si="5"/>
        <v>1045000</v>
      </c>
      <c r="AB56" s="25">
        <v>9759000</v>
      </c>
      <c r="AC56" s="202">
        <v>906</v>
      </c>
      <c r="AD56" s="194"/>
      <c r="AE56" s="195">
        <v>7478000</v>
      </c>
      <c r="AF56" s="194"/>
      <c r="AG56" s="194"/>
      <c r="AH56" s="195">
        <v>7478000</v>
      </c>
      <c r="AI56" s="195">
        <v>8714000</v>
      </c>
      <c r="AJ56" s="194"/>
      <c r="AK56" s="194"/>
      <c r="AL56" s="195">
        <v>7478000</v>
      </c>
      <c r="AM56" s="195">
        <v>8714000</v>
      </c>
      <c r="AN56" s="195"/>
      <c r="AO56" s="195">
        <v>8714000</v>
      </c>
    </row>
    <row r="57" spans="1:41" ht="35.25" customHeight="1">
      <c r="A57" s="171"/>
      <c r="B57" s="165" t="s">
        <v>8</v>
      </c>
      <c r="C57" s="122">
        <v>2</v>
      </c>
      <c r="D57" s="123"/>
      <c r="E57" s="124">
        <v>2000</v>
      </c>
      <c r="F57" s="116">
        <f t="shared" si="43"/>
        <v>2</v>
      </c>
      <c r="G57" s="116">
        <f t="shared" si="44"/>
        <v>0</v>
      </c>
      <c r="H57" s="114">
        <v>2</v>
      </c>
      <c r="I57" s="114">
        <v>2</v>
      </c>
      <c r="J57" s="114">
        <v>2</v>
      </c>
      <c r="K57" s="131">
        <v>2</v>
      </c>
      <c r="L57" s="195">
        <f>AD57+AE57</f>
        <v>2000</v>
      </c>
      <c r="M57" s="195">
        <f>L57-K57</f>
        <v>1998</v>
      </c>
      <c r="N57" s="195">
        <v>2</v>
      </c>
      <c r="O57" s="195"/>
      <c r="P57" s="195"/>
      <c r="Q57" s="25">
        <f t="shared" si="48"/>
        <v>2000</v>
      </c>
      <c r="R57" s="195">
        <v>2000</v>
      </c>
      <c r="S57" s="25">
        <f t="shared" si="49"/>
        <v>2000</v>
      </c>
      <c r="T57" s="25">
        <f t="shared" si="49"/>
        <v>2000</v>
      </c>
      <c r="U57" s="25">
        <f t="shared" si="50"/>
        <v>2000</v>
      </c>
      <c r="V57" s="25">
        <f t="shared" si="50"/>
        <v>2000</v>
      </c>
      <c r="W57" s="25">
        <v>2000</v>
      </c>
      <c r="X57" s="25">
        <f t="shared" si="4"/>
        <v>0</v>
      </c>
      <c r="Y57" s="25">
        <f t="shared" si="51"/>
        <v>2000</v>
      </c>
      <c r="Z57" s="25">
        <v>2000</v>
      </c>
      <c r="AA57" s="25">
        <f t="shared" si="5"/>
        <v>0</v>
      </c>
      <c r="AB57" s="25">
        <v>2000</v>
      </c>
      <c r="AC57" s="202">
        <v>902</v>
      </c>
      <c r="AD57" s="194"/>
      <c r="AE57" s="195">
        <v>2000</v>
      </c>
      <c r="AF57" s="194"/>
      <c r="AG57" s="194"/>
      <c r="AH57" s="195">
        <v>2000</v>
      </c>
      <c r="AI57" s="195">
        <v>2000</v>
      </c>
      <c r="AJ57" s="194"/>
      <c r="AK57" s="194"/>
      <c r="AL57" s="195">
        <v>2000</v>
      </c>
      <c r="AM57" s="195">
        <v>2000</v>
      </c>
      <c r="AN57" s="195"/>
      <c r="AO57" s="195">
        <v>2000</v>
      </c>
    </row>
    <row r="58" spans="1:41" ht="36.75" customHeight="1">
      <c r="A58" s="171"/>
      <c r="B58" s="165" t="s">
        <v>9</v>
      </c>
      <c r="C58" s="122">
        <v>558</v>
      </c>
      <c r="D58" s="123"/>
      <c r="E58" s="124">
        <v>558000</v>
      </c>
      <c r="F58" s="116">
        <f t="shared" si="43"/>
        <v>558</v>
      </c>
      <c r="G58" s="116">
        <f t="shared" si="44"/>
        <v>0</v>
      </c>
      <c r="H58" s="114">
        <v>558</v>
      </c>
      <c r="I58" s="114">
        <v>558</v>
      </c>
      <c r="J58" s="114">
        <v>579</v>
      </c>
      <c r="K58" s="131">
        <v>570</v>
      </c>
      <c r="L58" s="195">
        <f>AD58+AE58</f>
        <v>754000</v>
      </c>
      <c r="M58" s="195">
        <f>L58-K58</f>
        <v>753430</v>
      </c>
      <c r="N58" s="195">
        <v>570</v>
      </c>
      <c r="O58" s="195"/>
      <c r="P58" s="195"/>
      <c r="Q58" s="25">
        <f t="shared" si="48"/>
        <v>754000</v>
      </c>
      <c r="R58" s="195">
        <v>641000</v>
      </c>
      <c r="S58" s="25">
        <f t="shared" si="49"/>
        <v>754000</v>
      </c>
      <c r="T58" s="25">
        <f t="shared" si="49"/>
        <v>754000</v>
      </c>
      <c r="U58" s="25">
        <f t="shared" si="50"/>
        <v>754000</v>
      </c>
      <c r="V58" s="25">
        <f t="shared" si="50"/>
        <v>754000</v>
      </c>
      <c r="W58" s="25">
        <v>754000</v>
      </c>
      <c r="X58" s="25">
        <f t="shared" si="4"/>
        <v>0</v>
      </c>
      <c r="Y58" s="25">
        <f t="shared" si="51"/>
        <v>754000</v>
      </c>
      <c r="Z58" s="25">
        <v>754000</v>
      </c>
      <c r="AA58" s="25">
        <f t="shared" si="5"/>
        <v>0</v>
      </c>
      <c r="AB58" s="25">
        <v>754000</v>
      </c>
      <c r="AC58" s="202">
        <v>902</v>
      </c>
      <c r="AD58" s="194"/>
      <c r="AE58" s="195">
        <v>754000</v>
      </c>
      <c r="AF58" s="194"/>
      <c r="AG58" s="194"/>
      <c r="AH58" s="195">
        <v>754000</v>
      </c>
      <c r="AI58" s="195">
        <v>754000</v>
      </c>
      <c r="AJ58" s="195"/>
      <c r="AK58" s="195"/>
      <c r="AL58" s="195">
        <v>754000</v>
      </c>
      <c r="AM58" s="195">
        <v>754000</v>
      </c>
      <c r="AN58" s="195"/>
      <c r="AO58" s="195">
        <v>754000</v>
      </c>
    </row>
    <row r="59" spans="1:41" ht="48" customHeight="1">
      <c r="A59" s="171"/>
      <c r="B59" s="165" t="s">
        <v>171</v>
      </c>
      <c r="C59" s="122"/>
      <c r="D59" s="123"/>
      <c r="E59" s="124"/>
      <c r="F59" s="116"/>
      <c r="G59" s="116"/>
      <c r="H59" s="114"/>
      <c r="I59" s="114"/>
      <c r="J59" s="114"/>
      <c r="K59" s="131"/>
      <c r="L59" s="195"/>
      <c r="M59" s="195"/>
      <c r="N59" s="195"/>
      <c r="O59" s="195"/>
      <c r="P59" s="195"/>
      <c r="Q59" s="25">
        <f t="shared" si="48"/>
        <v>37000</v>
      </c>
      <c r="R59" s="195"/>
      <c r="S59" s="25">
        <f t="shared" si="49"/>
        <v>37000</v>
      </c>
      <c r="T59" s="25">
        <f t="shared" si="49"/>
        <v>37000</v>
      </c>
      <c r="U59" s="25">
        <f t="shared" si="50"/>
        <v>37000</v>
      </c>
      <c r="V59" s="25">
        <f t="shared" si="50"/>
        <v>37000</v>
      </c>
      <c r="W59" s="25">
        <v>37000</v>
      </c>
      <c r="X59" s="25">
        <f t="shared" si="4"/>
        <v>0</v>
      </c>
      <c r="Y59" s="25">
        <f t="shared" si="51"/>
        <v>37000</v>
      </c>
      <c r="Z59" s="25">
        <v>37000</v>
      </c>
      <c r="AA59" s="25">
        <f t="shared" si="5"/>
        <v>0</v>
      </c>
      <c r="AB59" s="25">
        <v>37000</v>
      </c>
      <c r="AC59" s="202">
        <v>905</v>
      </c>
      <c r="AD59" s="194"/>
      <c r="AE59" s="195">
        <v>37000</v>
      </c>
      <c r="AF59" s="194"/>
      <c r="AG59" s="194"/>
      <c r="AH59" s="195">
        <v>37000</v>
      </c>
      <c r="AI59" s="195">
        <v>37000</v>
      </c>
      <c r="AJ59" s="195"/>
      <c r="AK59" s="195"/>
      <c r="AL59" s="195">
        <v>37000</v>
      </c>
      <c r="AM59" s="195">
        <v>37000</v>
      </c>
      <c r="AN59" s="195"/>
      <c r="AO59" s="195">
        <v>37000</v>
      </c>
    </row>
    <row r="60" spans="1:41" ht="27.6" customHeight="1">
      <c r="A60" s="171"/>
      <c r="B60" s="30" t="s">
        <v>142</v>
      </c>
      <c r="C60" s="122"/>
      <c r="D60" s="123"/>
      <c r="E60" s="124"/>
      <c r="F60" s="116"/>
      <c r="G60" s="116"/>
      <c r="H60" s="114"/>
      <c r="I60" s="114"/>
      <c r="J60" s="114"/>
      <c r="K60" s="131"/>
      <c r="L60" s="195"/>
      <c r="M60" s="195"/>
      <c r="N60" s="195"/>
      <c r="O60" s="195"/>
      <c r="P60" s="195"/>
      <c r="Q60" s="25">
        <f t="shared" si="48"/>
        <v>1477000</v>
      </c>
      <c r="R60" s="195"/>
      <c r="S60" s="25">
        <f t="shared" si="49"/>
        <v>1495000</v>
      </c>
      <c r="T60" s="25">
        <f t="shared" si="49"/>
        <v>1495000</v>
      </c>
      <c r="U60" s="25">
        <f t="shared" si="50"/>
        <v>1495000</v>
      </c>
      <c r="V60" s="25">
        <f t="shared" si="50"/>
        <v>1495000</v>
      </c>
      <c r="W60" s="25">
        <v>1495000</v>
      </c>
      <c r="X60" s="25">
        <f t="shared" si="4"/>
        <v>0</v>
      </c>
      <c r="Y60" s="25">
        <f t="shared" si="51"/>
        <v>1495000</v>
      </c>
      <c r="Z60" s="25">
        <v>1495000</v>
      </c>
      <c r="AA60" s="25">
        <f t="shared" si="5"/>
        <v>0</v>
      </c>
      <c r="AB60" s="25">
        <v>1495000</v>
      </c>
      <c r="AC60" s="202">
        <v>902</v>
      </c>
      <c r="AD60" s="194"/>
      <c r="AE60" s="195">
        <v>1477000</v>
      </c>
      <c r="AF60" s="194"/>
      <c r="AG60" s="194"/>
      <c r="AH60" s="195">
        <v>1495000</v>
      </c>
      <c r="AI60" s="195">
        <v>1495000</v>
      </c>
      <c r="AJ60" s="195"/>
      <c r="AK60" s="195"/>
      <c r="AL60" s="195">
        <v>1495000</v>
      </c>
      <c r="AM60" s="195">
        <v>1495000</v>
      </c>
      <c r="AN60" s="195"/>
      <c r="AO60" s="195">
        <v>1495000</v>
      </c>
    </row>
    <row r="61" spans="1:41" ht="24" hidden="1" customHeight="1">
      <c r="A61" s="171"/>
      <c r="B61" s="165" t="s">
        <v>10</v>
      </c>
      <c r="C61" s="122">
        <v>1032</v>
      </c>
      <c r="D61" s="123"/>
      <c r="E61" s="124">
        <v>1032000</v>
      </c>
      <c r="F61" s="116">
        <f t="shared" ref="F61:F67" si="52">E61/1000</f>
        <v>1032</v>
      </c>
      <c r="G61" s="116">
        <f t="shared" ref="G61:G67" si="53">F61-C61</f>
        <v>0</v>
      </c>
      <c r="H61" s="114">
        <v>1037</v>
      </c>
      <c r="I61" s="114">
        <v>1037</v>
      </c>
      <c r="J61" s="114">
        <v>1076</v>
      </c>
      <c r="K61" s="131">
        <v>1054</v>
      </c>
      <c r="L61" s="195">
        <f t="shared" ref="L61:L67" si="54">AD61+AE61</f>
        <v>0</v>
      </c>
      <c r="M61" s="195">
        <f t="shared" ref="M61:M67" si="55">L61-K61</f>
        <v>-1054</v>
      </c>
      <c r="N61" s="195">
        <v>1054</v>
      </c>
      <c r="O61" s="195"/>
      <c r="P61" s="195"/>
      <c r="Q61" s="25">
        <f t="shared" si="48"/>
        <v>0</v>
      </c>
      <c r="R61" s="195">
        <v>1186000</v>
      </c>
      <c r="S61" s="25">
        <f t="shared" si="49"/>
        <v>0</v>
      </c>
      <c r="T61" s="25">
        <f t="shared" si="49"/>
        <v>0</v>
      </c>
      <c r="U61" s="25">
        <f t="shared" si="50"/>
        <v>0</v>
      </c>
      <c r="V61" s="25">
        <f t="shared" si="50"/>
        <v>0</v>
      </c>
      <c r="W61" s="25"/>
      <c r="X61" s="25">
        <f t="shared" si="4"/>
        <v>0</v>
      </c>
      <c r="Y61" s="25">
        <f t="shared" si="51"/>
        <v>0</v>
      </c>
      <c r="Z61" s="25"/>
      <c r="AA61" s="25">
        <f t="shared" si="5"/>
        <v>0</v>
      </c>
      <c r="AB61" s="25"/>
      <c r="AC61" s="202">
        <v>902</v>
      </c>
      <c r="AD61" s="194"/>
      <c r="AE61" s="195"/>
      <c r="AF61" s="194"/>
      <c r="AG61" s="194"/>
      <c r="AH61" s="195"/>
      <c r="AI61" s="195"/>
      <c r="AJ61" s="194"/>
      <c r="AK61" s="194"/>
      <c r="AL61" s="195"/>
      <c r="AM61" s="195"/>
      <c r="AN61" s="195"/>
      <c r="AO61" s="195"/>
    </row>
    <row r="62" spans="1:41" ht="23.25" customHeight="1">
      <c r="A62" s="171"/>
      <c r="B62" s="165" t="s">
        <v>11</v>
      </c>
      <c r="C62" s="122">
        <v>542</v>
      </c>
      <c r="D62" s="123"/>
      <c r="E62" s="124">
        <v>542000</v>
      </c>
      <c r="F62" s="116">
        <f t="shared" si="52"/>
        <v>542</v>
      </c>
      <c r="G62" s="116">
        <f t="shared" si="53"/>
        <v>0</v>
      </c>
      <c r="H62" s="114">
        <v>542</v>
      </c>
      <c r="I62" s="114">
        <v>542</v>
      </c>
      <c r="J62" s="114">
        <v>564</v>
      </c>
      <c r="K62" s="131">
        <v>554</v>
      </c>
      <c r="L62" s="195">
        <f t="shared" si="54"/>
        <v>733000</v>
      </c>
      <c r="M62" s="195">
        <f t="shared" si="55"/>
        <v>732446</v>
      </c>
      <c r="N62" s="195">
        <v>554</v>
      </c>
      <c r="O62" s="195"/>
      <c r="P62" s="195"/>
      <c r="Q62" s="25">
        <f t="shared" si="48"/>
        <v>733000</v>
      </c>
      <c r="R62" s="195">
        <v>623000</v>
      </c>
      <c r="S62" s="25">
        <f t="shared" si="49"/>
        <v>733000</v>
      </c>
      <c r="T62" s="25">
        <f t="shared" si="49"/>
        <v>733000</v>
      </c>
      <c r="U62" s="25">
        <f t="shared" si="50"/>
        <v>733000</v>
      </c>
      <c r="V62" s="25">
        <f t="shared" si="50"/>
        <v>733000</v>
      </c>
      <c r="W62" s="25">
        <v>733000</v>
      </c>
      <c r="X62" s="25">
        <f t="shared" si="4"/>
        <v>0</v>
      </c>
      <c r="Y62" s="25">
        <f t="shared" si="51"/>
        <v>733000</v>
      </c>
      <c r="Z62" s="25">
        <v>733000</v>
      </c>
      <c r="AA62" s="25">
        <f t="shared" si="5"/>
        <v>0</v>
      </c>
      <c r="AB62" s="25">
        <v>733000</v>
      </c>
      <c r="AC62" s="202">
        <v>902</v>
      </c>
      <c r="AD62" s="194"/>
      <c r="AE62" s="195">
        <v>733000</v>
      </c>
      <c r="AF62" s="194"/>
      <c r="AG62" s="194"/>
      <c r="AH62" s="195">
        <v>733000</v>
      </c>
      <c r="AI62" s="195">
        <v>733000</v>
      </c>
      <c r="AJ62" s="194"/>
      <c r="AK62" s="194"/>
      <c r="AL62" s="195">
        <v>733000</v>
      </c>
      <c r="AM62" s="195">
        <v>733000</v>
      </c>
      <c r="AN62" s="195"/>
      <c r="AO62" s="195">
        <v>733000</v>
      </c>
    </row>
    <row r="63" spans="1:41" ht="37.5" customHeight="1">
      <c r="A63" s="171"/>
      <c r="B63" s="165" t="s">
        <v>12</v>
      </c>
      <c r="C63" s="122">
        <v>762</v>
      </c>
      <c r="D63" s="123"/>
      <c r="E63" s="124">
        <v>762000</v>
      </c>
      <c r="F63" s="116">
        <f t="shared" si="52"/>
        <v>762</v>
      </c>
      <c r="G63" s="116">
        <f t="shared" si="53"/>
        <v>0</v>
      </c>
      <c r="H63" s="114">
        <v>778</v>
      </c>
      <c r="I63" s="114">
        <v>778</v>
      </c>
      <c r="J63" s="114">
        <v>778</v>
      </c>
      <c r="K63" s="131">
        <v>795</v>
      </c>
      <c r="L63" s="195">
        <f t="shared" si="54"/>
        <v>1766000</v>
      </c>
      <c r="M63" s="195">
        <f t="shared" si="55"/>
        <v>1765205</v>
      </c>
      <c r="N63" s="195">
        <v>795</v>
      </c>
      <c r="O63" s="195"/>
      <c r="P63" s="195"/>
      <c r="Q63" s="25">
        <f t="shared" si="48"/>
        <v>1766000</v>
      </c>
      <c r="R63" s="195">
        <v>1160000</v>
      </c>
      <c r="S63" s="25">
        <f t="shared" si="49"/>
        <v>1373000</v>
      </c>
      <c r="T63" s="25">
        <f t="shared" si="49"/>
        <v>1824000</v>
      </c>
      <c r="U63" s="25">
        <f t="shared" si="50"/>
        <v>1373000</v>
      </c>
      <c r="V63" s="25">
        <f t="shared" si="50"/>
        <v>1824000</v>
      </c>
      <c r="W63" s="25">
        <v>2223000</v>
      </c>
      <c r="X63" s="25">
        <f t="shared" si="4"/>
        <v>399000</v>
      </c>
      <c r="Y63" s="25">
        <f t="shared" si="51"/>
        <v>1824000</v>
      </c>
      <c r="Z63" s="25">
        <v>2223000</v>
      </c>
      <c r="AA63" s="25">
        <f t="shared" si="5"/>
        <v>399000</v>
      </c>
      <c r="AB63" s="25">
        <v>2223000</v>
      </c>
      <c r="AC63" s="202">
        <v>905</v>
      </c>
      <c r="AD63" s="194"/>
      <c r="AE63" s="195">
        <f>1373000+393000</f>
        <v>1766000</v>
      </c>
      <c r="AF63" s="194"/>
      <c r="AG63" s="194"/>
      <c r="AH63" s="195">
        <v>1373000</v>
      </c>
      <c r="AI63" s="195">
        <v>1824000</v>
      </c>
      <c r="AJ63" s="194"/>
      <c r="AK63" s="194"/>
      <c r="AL63" s="195">
        <v>1373000</v>
      </c>
      <c r="AM63" s="195">
        <v>1824000</v>
      </c>
      <c r="AN63" s="195"/>
      <c r="AO63" s="195">
        <v>1824000</v>
      </c>
    </row>
    <row r="64" spans="1:41" ht="33" customHeight="1">
      <c r="A64" s="171"/>
      <c r="B64" s="165" t="s">
        <v>173</v>
      </c>
      <c r="C64" s="122">
        <v>442</v>
      </c>
      <c r="D64" s="123"/>
      <c r="E64" s="124">
        <v>442000</v>
      </c>
      <c r="F64" s="116">
        <f t="shared" si="52"/>
        <v>442</v>
      </c>
      <c r="G64" s="116">
        <f t="shared" si="53"/>
        <v>0</v>
      </c>
      <c r="H64" s="114">
        <v>508</v>
      </c>
      <c r="I64" s="114">
        <v>518</v>
      </c>
      <c r="J64" s="114">
        <v>508</v>
      </c>
      <c r="K64" s="131">
        <v>1786</v>
      </c>
      <c r="L64" s="195">
        <f t="shared" si="54"/>
        <v>8164000</v>
      </c>
      <c r="M64" s="195">
        <f t="shared" si="55"/>
        <v>8162214</v>
      </c>
      <c r="N64" s="195">
        <v>1854</v>
      </c>
      <c r="O64" s="195"/>
      <c r="P64" s="195"/>
      <c r="Q64" s="25">
        <f t="shared" si="48"/>
        <v>8164000</v>
      </c>
      <c r="R64" s="195">
        <v>1956000</v>
      </c>
      <c r="S64" s="25">
        <f t="shared" si="49"/>
        <v>8515000</v>
      </c>
      <c r="T64" s="25">
        <f t="shared" si="49"/>
        <v>11358000</v>
      </c>
      <c r="U64" s="25">
        <f t="shared" si="50"/>
        <v>8898000</v>
      </c>
      <c r="V64" s="25">
        <f t="shared" si="50"/>
        <v>16973000</v>
      </c>
      <c r="W64" s="25">
        <v>8100000</v>
      </c>
      <c r="X64" s="25">
        <f t="shared" si="4"/>
        <v>-8873000</v>
      </c>
      <c r="Y64" s="25">
        <f t="shared" si="51"/>
        <v>17650000</v>
      </c>
      <c r="Z64" s="25">
        <v>8387000</v>
      </c>
      <c r="AA64" s="25">
        <f t="shared" si="5"/>
        <v>-9263000</v>
      </c>
      <c r="AB64" s="25">
        <v>8686000</v>
      </c>
      <c r="AC64" s="202">
        <v>905</v>
      </c>
      <c r="AD64" s="194"/>
      <c r="AE64" s="195">
        <v>8164000</v>
      </c>
      <c r="AF64" s="194"/>
      <c r="AG64" s="194"/>
      <c r="AH64" s="195">
        <v>8515000</v>
      </c>
      <c r="AI64" s="195">
        <f>16358000-5000000</f>
        <v>11358000</v>
      </c>
      <c r="AJ64" s="194"/>
      <c r="AK64" s="194"/>
      <c r="AL64" s="195">
        <v>8898000</v>
      </c>
      <c r="AM64" s="195">
        <v>16973000</v>
      </c>
      <c r="AN64" s="195"/>
      <c r="AO64" s="195">
        <v>17650000</v>
      </c>
    </row>
    <row r="65" spans="1:43" ht="39" customHeight="1">
      <c r="A65" s="171" t="s">
        <v>45</v>
      </c>
      <c r="B65" s="165" t="s">
        <v>196</v>
      </c>
      <c r="C65" s="122">
        <v>25623</v>
      </c>
      <c r="D65" s="123"/>
      <c r="E65" s="124">
        <v>25623000</v>
      </c>
      <c r="F65" s="116">
        <f t="shared" si="52"/>
        <v>25623</v>
      </c>
      <c r="G65" s="116">
        <f t="shared" si="53"/>
        <v>0</v>
      </c>
      <c r="H65" s="114">
        <v>24886</v>
      </c>
      <c r="I65" s="114">
        <v>24886</v>
      </c>
      <c r="J65" s="114">
        <v>25882</v>
      </c>
      <c r="K65" s="131">
        <v>27714</v>
      </c>
      <c r="L65" s="195">
        <f t="shared" si="54"/>
        <v>31556000</v>
      </c>
      <c r="M65" s="195">
        <f t="shared" si="55"/>
        <v>31528286</v>
      </c>
      <c r="N65" s="195">
        <v>27714</v>
      </c>
      <c r="O65" s="195"/>
      <c r="P65" s="195"/>
      <c r="Q65" s="25">
        <f t="shared" si="48"/>
        <v>31556000</v>
      </c>
      <c r="R65" s="195">
        <v>28143000</v>
      </c>
      <c r="S65" s="25">
        <f t="shared" si="49"/>
        <v>31556000</v>
      </c>
      <c r="T65" s="25">
        <f t="shared" si="49"/>
        <v>25130000</v>
      </c>
      <c r="U65" s="25">
        <f t="shared" si="50"/>
        <v>31556000</v>
      </c>
      <c r="V65" s="25">
        <f t="shared" si="50"/>
        <v>32353000</v>
      </c>
      <c r="W65" s="25">
        <v>34589000</v>
      </c>
      <c r="X65" s="25">
        <f t="shared" si="4"/>
        <v>2236000</v>
      </c>
      <c r="Y65" s="25">
        <f t="shared" si="51"/>
        <v>32353000</v>
      </c>
      <c r="Z65" s="25">
        <v>34589000</v>
      </c>
      <c r="AA65" s="25">
        <f t="shared" si="5"/>
        <v>2236000</v>
      </c>
      <c r="AB65" s="25">
        <v>34589000</v>
      </c>
      <c r="AC65" s="202">
        <v>906</v>
      </c>
      <c r="AD65" s="194"/>
      <c r="AE65" s="195">
        <v>31556000</v>
      </c>
      <c r="AF65" s="194"/>
      <c r="AG65" s="194"/>
      <c r="AH65" s="195">
        <v>31556000</v>
      </c>
      <c r="AI65" s="195">
        <f>32353000-7223000</f>
        <v>25130000</v>
      </c>
      <c r="AJ65" s="194"/>
      <c r="AK65" s="194"/>
      <c r="AL65" s="195">
        <v>31556000</v>
      </c>
      <c r="AM65" s="195">
        <v>32353000</v>
      </c>
      <c r="AN65" s="195"/>
      <c r="AO65" s="195">
        <v>32353000</v>
      </c>
    </row>
    <row r="66" spans="1:43" ht="53.25" customHeight="1">
      <c r="A66" s="171" t="s">
        <v>46</v>
      </c>
      <c r="B66" s="165" t="s">
        <v>14</v>
      </c>
      <c r="C66" s="122">
        <v>3449</v>
      </c>
      <c r="D66" s="123"/>
      <c r="E66" s="124">
        <v>3449000</v>
      </c>
      <c r="F66" s="116">
        <f t="shared" si="52"/>
        <v>3449</v>
      </c>
      <c r="G66" s="116">
        <f t="shared" si="53"/>
        <v>0</v>
      </c>
      <c r="H66" s="114">
        <v>3673</v>
      </c>
      <c r="I66" s="114">
        <v>3673</v>
      </c>
      <c r="J66" s="114">
        <v>3673</v>
      </c>
      <c r="K66" s="131">
        <v>2329</v>
      </c>
      <c r="L66" s="195">
        <f t="shared" si="54"/>
        <v>4048000</v>
      </c>
      <c r="M66" s="195">
        <f t="shared" si="55"/>
        <v>4045671</v>
      </c>
      <c r="N66" s="195">
        <v>2329</v>
      </c>
      <c r="O66" s="195"/>
      <c r="P66" s="195"/>
      <c r="Q66" s="25">
        <f t="shared" si="48"/>
        <v>4048000</v>
      </c>
      <c r="R66" s="195">
        <v>5387000</v>
      </c>
      <c r="S66" s="25">
        <f t="shared" si="49"/>
        <v>4048000</v>
      </c>
      <c r="T66" s="25">
        <f t="shared" si="49"/>
        <v>1408000</v>
      </c>
      <c r="U66" s="25">
        <f t="shared" si="50"/>
        <v>4048000</v>
      </c>
      <c r="V66" s="25">
        <f t="shared" si="50"/>
        <v>2708000</v>
      </c>
      <c r="W66" s="25">
        <v>2442000</v>
      </c>
      <c r="X66" s="25">
        <f t="shared" si="4"/>
        <v>-266000</v>
      </c>
      <c r="Y66" s="25">
        <f t="shared" si="51"/>
        <v>2708000</v>
      </c>
      <c r="Z66" s="25">
        <v>2442000</v>
      </c>
      <c r="AA66" s="25">
        <f t="shared" si="5"/>
        <v>-266000</v>
      </c>
      <c r="AB66" s="25">
        <v>2442000</v>
      </c>
      <c r="AC66" s="202">
        <v>906</v>
      </c>
      <c r="AD66" s="194"/>
      <c r="AE66" s="195">
        <v>4048000</v>
      </c>
      <c r="AF66" s="194"/>
      <c r="AG66" s="194"/>
      <c r="AH66" s="195">
        <v>4048000</v>
      </c>
      <c r="AI66" s="195">
        <f>2708000-1300000</f>
        <v>1408000</v>
      </c>
      <c r="AJ66" s="194"/>
      <c r="AK66" s="194"/>
      <c r="AL66" s="195">
        <v>4048000</v>
      </c>
      <c r="AM66" s="195">
        <v>2708000</v>
      </c>
      <c r="AN66" s="195"/>
      <c r="AO66" s="195">
        <v>2708000</v>
      </c>
    </row>
    <row r="67" spans="1:43" ht="38.450000000000003" customHeight="1">
      <c r="A67" s="171" t="s">
        <v>47</v>
      </c>
      <c r="B67" s="165" t="s">
        <v>15</v>
      </c>
      <c r="C67" s="122">
        <v>5821</v>
      </c>
      <c r="D67" s="123"/>
      <c r="E67" s="124">
        <v>5820994</v>
      </c>
      <c r="F67" s="116">
        <f t="shared" si="52"/>
        <v>5820.9939999999997</v>
      </c>
      <c r="G67" s="116">
        <f t="shared" si="53"/>
        <v>-6.0000000003128662E-3</v>
      </c>
      <c r="H67" s="114">
        <v>3104</v>
      </c>
      <c r="I67" s="114">
        <f>3104+2580</f>
        <v>5684</v>
      </c>
      <c r="J67" s="114">
        <v>3954</v>
      </c>
      <c r="K67" s="131">
        <v>5031</v>
      </c>
      <c r="L67" s="195">
        <f t="shared" si="54"/>
        <v>15914522</v>
      </c>
      <c r="M67" s="195">
        <f t="shared" si="55"/>
        <v>15909491</v>
      </c>
      <c r="N67" s="195">
        <v>4385</v>
      </c>
      <c r="O67" s="195"/>
      <c r="P67" s="195"/>
      <c r="Q67" s="25">
        <f t="shared" si="48"/>
        <v>15914522</v>
      </c>
      <c r="R67" s="195">
        <v>19253400</v>
      </c>
      <c r="S67" s="25">
        <f t="shared" si="49"/>
        <v>60930701</v>
      </c>
      <c r="T67" s="25">
        <f t="shared" si="49"/>
        <v>22288869</v>
      </c>
      <c r="U67" s="25">
        <f t="shared" si="50"/>
        <v>62311914</v>
      </c>
      <c r="V67" s="25">
        <f t="shared" si="50"/>
        <v>25352300</v>
      </c>
      <c r="W67" s="25">
        <v>19444800</v>
      </c>
      <c r="X67" s="25">
        <f t="shared" si="4"/>
        <v>-5907500</v>
      </c>
      <c r="Y67" s="25">
        <f t="shared" si="51"/>
        <v>24249200</v>
      </c>
      <c r="Z67" s="25">
        <v>19523600</v>
      </c>
      <c r="AA67" s="25">
        <f t="shared" si="5"/>
        <v>-4725600</v>
      </c>
      <c r="AB67" s="25">
        <v>19605400</v>
      </c>
      <c r="AC67" s="202">
        <v>904</v>
      </c>
      <c r="AD67" s="194">
        <v>3710522</v>
      </c>
      <c r="AE67" s="195">
        <v>12204000</v>
      </c>
      <c r="AF67" s="194">
        <v>14205701</v>
      </c>
      <c r="AG67" s="194">
        <v>4501000</v>
      </c>
      <c r="AH67" s="195">
        <v>46725000</v>
      </c>
      <c r="AI67" s="195">
        <f>15535000+2252869</f>
        <v>17787869</v>
      </c>
      <c r="AJ67" s="194">
        <v>14882914</v>
      </c>
      <c r="AK67" s="194">
        <v>5818300</v>
      </c>
      <c r="AL67" s="195">
        <v>47429000</v>
      </c>
      <c r="AM67" s="195">
        <f>19534000</f>
        <v>19534000</v>
      </c>
      <c r="AN67" s="195">
        <v>5454200</v>
      </c>
      <c r="AO67" s="195">
        <f>18795000</f>
        <v>18795000</v>
      </c>
    </row>
    <row r="68" spans="1:43" ht="38.450000000000003" customHeight="1">
      <c r="A68" s="197" t="s">
        <v>160</v>
      </c>
      <c r="B68" s="165" t="s">
        <v>161</v>
      </c>
      <c r="C68" s="122"/>
      <c r="D68" s="123"/>
      <c r="E68" s="124"/>
      <c r="F68" s="116"/>
      <c r="G68" s="116"/>
      <c r="H68" s="114"/>
      <c r="I68" s="114"/>
      <c r="J68" s="114"/>
      <c r="K68" s="131"/>
      <c r="L68" s="195"/>
      <c r="M68" s="195"/>
      <c r="N68" s="195"/>
      <c r="O68" s="195"/>
      <c r="P68" s="195"/>
      <c r="Q68" s="25">
        <f t="shared" si="48"/>
        <v>4100</v>
      </c>
      <c r="R68" s="195">
        <v>101000</v>
      </c>
      <c r="S68" s="25">
        <f t="shared" si="49"/>
        <v>4300</v>
      </c>
      <c r="T68" s="25">
        <f t="shared" si="49"/>
        <v>14100</v>
      </c>
      <c r="U68" s="25">
        <f t="shared" si="50"/>
        <v>3900</v>
      </c>
      <c r="V68" s="25">
        <f t="shared" si="50"/>
        <v>14700</v>
      </c>
      <c r="W68" s="25">
        <v>14400</v>
      </c>
      <c r="X68" s="25">
        <f t="shared" si="4"/>
        <v>-300</v>
      </c>
      <c r="Y68" s="25">
        <f t="shared" si="51"/>
        <v>259300</v>
      </c>
      <c r="Z68" s="25">
        <v>242900</v>
      </c>
      <c r="AA68" s="25">
        <f t="shared" si="5"/>
        <v>-16400</v>
      </c>
      <c r="AB68" s="25">
        <v>14100</v>
      </c>
      <c r="AC68" s="202">
        <v>902</v>
      </c>
      <c r="AD68" s="194">
        <v>4100</v>
      </c>
      <c r="AE68" s="195"/>
      <c r="AF68" s="194">
        <v>4300</v>
      </c>
      <c r="AG68" s="194">
        <v>14100</v>
      </c>
      <c r="AH68" s="195"/>
      <c r="AI68" s="195"/>
      <c r="AJ68" s="194">
        <v>3900</v>
      </c>
      <c r="AK68" s="195">
        <v>14700</v>
      </c>
      <c r="AL68" s="195"/>
      <c r="AM68" s="195"/>
      <c r="AN68" s="195">
        <v>259300</v>
      </c>
      <c r="AO68" s="195"/>
    </row>
    <row r="69" spans="1:43" ht="23.45" customHeight="1">
      <c r="A69" s="171" t="s">
        <v>48</v>
      </c>
      <c r="B69" s="165" t="s">
        <v>16</v>
      </c>
      <c r="C69" s="122">
        <v>145</v>
      </c>
      <c r="D69" s="123"/>
      <c r="E69" s="124">
        <v>145000</v>
      </c>
      <c r="F69" s="116">
        <f>E69/1000</f>
        <v>145</v>
      </c>
      <c r="G69" s="116">
        <f>F69-C69</f>
        <v>0</v>
      </c>
      <c r="H69" s="114">
        <v>110</v>
      </c>
      <c r="I69" s="114">
        <v>110</v>
      </c>
      <c r="J69" s="114">
        <v>110</v>
      </c>
      <c r="K69" s="131">
        <v>111</v>
      </c>
      <c r="L69" s="195">
        <f>AD69+AE69</f>
        <v>92000</v>
      </c>
      <c r="M69" s="195">
        <f>L69-K69</f>
        <v>91889</v>
      </c>
      <c r="N69" s="195">
        <v>111</v>
      </c>
      <c r="O69" s="195"/>
      <c r="P69" s="195"/>
      <c r="Q69" s="25">
        <f t="shared" si="48"/>
        <v>92000</v>
      </c>
      <c r="R69" s="195">
        <v>0</v>
      </c>
      <c r="S69" s="25">
        <f t="shared" si="49"/>
        <v>92000</v>
      </c>
      <c r="T69" s="25">
        <f t="shared" si="49"/>
        <v>92000</v>
      </c>
      <c r="U69" s="25">
        <f t="shared" si="50"/>
        <v>92000</v>
      </c>
      <c r="V69" s="25">
        <f t="shared" si="50"/>
        <v>92000</v>
      </c>
      <c r="W69" s="25">
        <v>94000</v>
      </c>
      <c r="X69" s="25">
        <f t="shared" si="4"/>
        <v>2000</v>
      </c>
      <c r="Y69" s="25">
        <f t="shared" si="51"/>
        <v>92000</v>
      </c>
      <c r="Z69" s="25">
        <v>94000</v>
      </c>
      <c r="AA69" s="25">
        <f t="shared" si="5"/>
        <v>2000</v>
      </c>
      <c r="AB69" s="25">
        <v>94000</v>
      </c>
      <c r="AC69" s="202">
        <v>907</v>
      </c>
      <c r="AD69" s="194"/>
      <c r="AE69" s="195">
        <v>92000</v>
      </c>
      <c r="AF69" s="194"/>
      <c r="AG69" s="194"/>
      <c r="AH69" s="195">
        <v>92000</v>
      </c>
      <c r="AI69" s="195">
        <v>92000</v>
      </c>
      <c r="AJ69" s="194"/>
      <c r="AK69" s="194"/>
      <c r="AL69" s="195">
        <v>92000</v>
      </c>
      <c r="AM69" s="195">
        <v>92000</v>
      </c>
      <c r="AN69" s="195"/>
      <c r="AO69" s="195">
        <v>92000</v>
      </c>
    </row>
    <row r="70" spans="1:43" ht="24.75" hidden="1">
      <c r="A70" s="126" t="s">
        <v>65</v>
      </c>
      <c r="B70" s="127" t="s">
        <v>87</v>
      </c>
      <c r="C70" s="123"/>
      <c r="D70" s="123"/>
      <c r="E70" s="124"/>
      <c r="F70" s="116">
        <f>E70/1000</f>
        <v>0</v>
      </c>
      <c r="G70" s="116">
        <f>F70-C70</f>
        <v>0</v>
      </c>
      <c r="H70" s="114"/>
      <c r="I70" s="114">
        <v>962</v>
      </c>
      <c r="J70" s="114"/>
      <c r="K70" s="131">
        <v>0</v>
      </c>
      <c r="L70" s="195">
        <f>AD70+AE70</f>
        <v>0</v>
      </c>
      <c r="M70" s="195">
        <f>L70-K70</f>
        <v>0</v>
      </c>
      <c r="N70" s="195">
        <v>0</v>
      </c>
      <c r="O70" s="195"/>
      <c r="P70" s="195"/>
      <c r="Q70" s="25">
        <f t="shared" si="48"/>
        <v>0</v>
      </c>
      <c r="R70" s="195">
        <v>37303000</v>
      </c>
      <c r="S70" s="25">
        <f>AF70+AH70</f>
        <v>0</v>
      </c>
      <c r="T70" s="195"/>
      <c r="U70" s="25">
        <f>AJ70+AL70</f>
        <v>0</v>
      </c>
      <c r="V70" s="25"/>
      <c r="W70" s="25"/>
      <c r="X70" s="25">
        <f t="shared" si="4"/>
        <v>0</v>
      </c>
      <c r="Y70" s="25"/>
      <c r="Z70" s="25"/>
      <c r="AA70" s="25">
        <f t="shared" si="5"/>
        <v>0</v>
      </c>
      <c r="AB70" s="25"/>
      <c r="AC70" s="202" t="s">
        <v>61</v>
      </c>
      <c r="AD70" s="194"/>
      <c r="AE70" s="195"/>
      <c r="AF70" s="194"/>
      <c r="AG70" s="194"/>
      <c r="AH70" s="195"/>
      <c r="AI70" s="195"/>
      <c r="AJ70" s="194"/>
      <c r="AK70" s="194"/>
      <c r="AL70" s="195"/>
      <c r="AM70" s="195"/>
      <c r="AN70" s="195"/>
      <c r="AO70" s="195"/>
    </row>
    <row r="71" spans="1:43" ht="16.5" customHeight="1">
      <c r="A71" s="209" t="s">
        <v>128</v>
      </c>
      <c r="B71" s="139" t="s">
        <v>127</v>
      </c>
      <c r="C71" s="224"/>
      <c r="D71" s="224"/>
      <c r="E71" s="225"/>
      <c r="F71" s="223"/>
      <c r="G71" s="223"/>
      <c r="H71" s="226"/>
      <c r="I71" s="226"/>
      <c r="J71" s="226"/>
      <c r="K71" s="227"/>
      <c r="L71" s="219">
        <f>AD71+AE71</f>
        <v>39812696.810000002</v>
      </c>
      <c r="M71" s="228"/>
      <c r="N71" s="228"/>
      <c r="O71" s="228"/>
      <c r="P71" s="228"/>
      <c r="Q71" s="24">
        <f>SUM(Q73:Q75)</f>
        <v>39812696.810000002</v>
      </c>
      <c r="R71" s="24">
        <f>SUM(R73:R75)</f>
        <v>0</v>
      </c>
      <c r="S71" s="24">
        <f>SUM(S73:S75)</f>
        <v>39000000</v>
      </c>
      <c r="T71" s="24">
        <f>SUM(T72:T77)</f>
        <v>76998580.310000002</v>
      </c>
      <c r="U71" s="24">
        <f t="shared" ref="U71:AO71" si="56">SUM(U72:U76)</f>
        <v>39000000</v>
      </c>
      <c r="V71" s="24">
        <f t="shared" si="56"/>
        <v>37498000</v>
      </c>
      <c r="W71" s="24">
        <f t="shared" si="56"/>
        <v>76036960</v>
      </c>
      <c r="X71" s="25">
        <f t="shared" si="4"/>
        <v>38538960</v>
      </c>
      <c r="Y71" s="24">
        <f t="shared" si="56"/>
        <v>37498000</v>
      </c>
      <c r="Z71" s="24">
        <f t="shared" si="56"/>
        <v>75911952</v>
      </c>
      <c r="AA71" s="25">
        <f t="shared" si="5"/>
        <v>38413952</v>
      </c>
      <c r="AB71" s="24">
        <f t="shared" si="56"/>
        <v>75661952</v>
      </c>
      <c r="AC71" s="24">
        <f t="shared" si="56"/>
        <v>4525</v>
      </c>
      <c r="AD71" s="24">
        <f t="shared" si="56"/>
        <v>39454069.840000004</v>
      </c>
      <c r="AE71" s="24">
        <f t="shared" si="56"/>
        <v>358626.97</v>
      </c>
      <c r="AF71" s="24">
        <f t="shared" si="56"/>
        <v>39000000</v>
      </c>
      <c r="AG71" s="24">
        <f t="shared" si="56"/>
        <v>72971731.900000006</v>
      </c>
      <c r="AH71" s="24">
        <f t="shared" si="56"/>
        <v>0</v>
      </c>
      <c r="AI71" s="24">
        <f t="shared" si="56"/>
        <v>2557802.41</v>
      </c>
      <c r="AJ71" s="24">
        <f t="shared" si="56"/>
        <v>39000000</v>
      </c>
      <c r="AK71" s="24">
        <f t="shared" si="56"/>
        <v>37498000</v>
      </c>
      <c r="AL71" s="24">
        <f t="shared" si="56"/>
        <v>0</v>
      </c>
      <c r="AM71" s="24">
        <f t="shared" si="56"/>
        <v>0</v>
      </c>
      <c r="AN71" s="24">
        <f t="shared" si="56"/>
        <v>37498000</v>
      </c>
      <c r="AO71" s="24">
        <f t="shared" si="56"/>
        <v>0</v>
      </c>
    </row>
    <row r="72" spans="1:43" ht="99.75" customHeight="1">
      <c r="A72" s="384" t="s">
        <v>203</v>
      </c>
      <c r="B72" s="120" t="s">
        <v>204</v>
      </c>
      <c r="C72" s="224"/>
      <c r="D72" s="224"/>
      <c r="E72" s="225"/>
      <c r="F72" s="223"/>
      <c r="G72" s="223"/>
      <c r="H72" s="226"/>
      <c r="I72" s="226"/>
      <c r="J72" s="226"/>
      <c r="K72" s="227"/>
      <c r="L72" s="219"/>
      <c r="M72" s="228"/>
      <c r="N72" s="228"/>
      <c r="O72" s="228"/>
      <c r="P72" s="228"/>
      <c r="Q72" s="24"/>
      <c r="R72" s="24"/>
      <c r="S72" s="24"/>
      <c r="T72" s="25">
        <f t="shared" ref="S72:T75" si="57">AG72+AI72</f>
        <v>208320</v>
      </c>
      <c r="U72" s="24"/>
      <c r="V72" s="25">
        <f t="shared" ref="U72:X76" si="58">AK72+AM72</f>
        <v>0</v>
      </c>
      <c r="W72" s="25">
        <v>624960</v>
      </c>
      <c r="X72" s="25">
        <f t="shared" ref="X72" si="59">AM72+AO72</f>
        <v>0</v>
      </c>
      <c r="Y72" s="25">
        <f>AN72</f>
        <v>0</v>
      </c>
      <c r="Z72" s="25">
        <v>749952</v>
      </c>
      <c r="AA72" s="25">
        <f t="shared" ref="Z72:AB82" si="60">Z72-Y72</f>
        <v>749952</v>
      </c>
      <c r="AB72" s="25">
        <v>749952</v>
      </c>
      <c r="AC72" s="385">
        <v>906</v>
      </c>
      <c r="AD72" s="367"/>
      <c r="AE72" s="24"/>
      <c r="AF72" s="367"/>
      <c r="AG72" s="378">
        <v>208320</v>
      </c>
      <c r="AH72" s="24"/>
      <c r="AI72" s="24"/>
      <c r="AJ72" s="367"/>
      <c r="AK72" s="367"/>
      <c r="AL72" s="24"/>
      <c r="AM72" s="24"/>
      <c r="AN72" s="24"/>
      <c r="AO72" s="24"/>
    </row>
    <row r="73" spans="1:43" ht="84.75">
      <c r="A73" s="210" t="s">
        <v>114</v>
      </c>
      <c r="B73" s="120" t="s">
        <v>197</v>
      </c>
      <c r="C73" s="123"/>
      <c r="D73" s="123"/>
      <c r="E73" s="124"/>
      <c r="F73" s="116"/>
      <c r="G73" s="116"/>
      <c r="H73" s="114"/>
      <c r="I73" s="114"/>
      <c r="J73" s="114"/>
      <c r="K73" s="131"/>
      <c r="L73" s="195">
        <f>AD73+AE73</f>
        <v>38600000</v>
      </c>
      <c r="M73" s="154"/>
      <c r="N73" s="154"/>
      <c r="O73" s="154"/>
      <c r="P73" s="154"/>
      <c r="Q73" s="25">
        <f>AD73+AE73</f>
        <v>38600000</v>
      </c>
      <c r="R73" s="195"/>
      <c r="S73" s="25">
        <f t="shared" si="57"/>
        <v>39000000</v>
      </c>
      <c r="T73" s="25">
        <f t="shared" si="57"/>
        <v>70974000</v>
      </c>
      <c r="U73" s="25">
        <f t="shared" si="58"/>
        <v>39000000</v>
      </c>
      <c r="V73" s="25">
        <f t="shared" si="58"/>
        <v>37498000</v>
      </c>
      <c r="W73" s="25">
        <v>75412000</v>
      </c>
      <c r="X73" s="25">
        <f t="shared" si="58"/>
        <v>0</v>
      </c>
      <c r="Y73" s="25">
        <f>AN73+AO73</f>
        <v>37498000</v>
      </c>
      <c r="Z73" s="25">
        <v>75162000</v>
      </c>
      <c r="AA73" s="25">
        <f t="shared" si="60"/>
        <v>37664000</v>
      </c>
      <c r="AB73" s="25">
        <v>74912000</v>
      </c>
      <c r="AC73" s="202">
        <v>906</v>
      </c>
      <c r="AD73" s="198">
        <v>38600000</v>
      </c>
      <c r="AE73" s="195"/>
      <c r="AF73" s="198">
        <v>39000000</v>
      </c>
      <c r="AG73" s="198">
        <f>37748000+7173000+26053000</f>
        <v>70974000</v>
      </c>
      <c r="AH73" s="195"/>
      <c r="AI73" s="195"/>
      <c r="AJ73" s="198">
        <v>39000000</v>
      </c>
      <c r="AK73" s="198">
        <v>37498000</v>
      </c>
      <c r="AL73" s="195"/>
      <c r="AM73" s="195"/>
      <c r="AN73" s="195">
        <v>37498000</v>
      </c>
      <c r="AO73" s="195"/>
    </row>
    <row r="74" spans="1:43" ht="52.9" customHeight="1">
      <c r="A74" s="231" t="s">
        <v>178</v>
      </c>
      <c r="B74" s="232" t="s">
        <v>179</v>
      </c>
      <c r="C74" s="233"/>
      <c r="D74" s="233"/>
      <c r="E74" s="234"/>
      <c r="F74" s="116">
        <f>E74/1000</f>
        <v>0</v>
      </c>
      <c r="G74" s="116">
        <f>F74-C74</f>
        <v>0</v>
      </c>
      <c r="H74" s="235"/>
      <c r="I74" s="235"/>
      <c r="J74" s="235"/>
      <c r="K74" s="235">
        <v>1000</v>
      </c>
      <c r="L74" s="236">
        <f>AD74+AE74</f>
        <v>862696.80999999994</v>
      </c>
      <c r="M74" s="236">
        <f>L74-K74</f>
        <v>861696.80999999994</v>
      </c>
      <c r="N74" s="236">
        <v>0</v>
      </c>
      <c r="O74" s="236"/>
      <c r="P74" s="236"/>
      <c r="Q74" s="25">
        <f>AD74+AE74</f>
        <v>862696.80999999994</v>
      </c>
      <c r="R74" s="236"/>
      <c r="S74" s="237">
        <f t="shared" si="57"/>
        <v>0</v>
      </c>
      <c r="T74" s="25">
        <f t="shared" si="57"/>
        <v>1807486.77</v>
      </c>
      <c r="U74" s="237">
        <f t="shared" si="58"/>
        <v>0</v>
      </c>
      <c r="V74" s="25">
        <f t="shared" si="58"/>
        <v>0</v>
      </c>
      <c r="W74" s="25">
        <f t="shared" si="58"/>
        <v>0</v>
      </c>
      <c r="X74" s="25">
        <f t="shared" si="58"/>
        <v>0</v>
      </c>
      <c r="Y74" s="25">
        <f>AN74+AO74</f>
        <v>0</v>
      </c>
      <c r="Z74" s="25">
        <f t="shared" si="60"/>
        <v>0</v>
      </c>
      <c r="AA74" s="25">
        <f t="shared" si="60"/>
        <v>0</v>
      </c>
      <c r="AB74" s="25">
        <f t="shared" si="60"/>
        <v>0</v>
      </c>
      <c r="AC74" s="239">
        <v>906</v>
      </c>
      <c r="AD74" s="240">
        <v>854069.84</v>
      </c>
      <c r="AE74" s="240">
        <v>8626.9699999999993</v>
      </c>
      <c r="AF74" s="240"/>
      <c r="AG74" s="240">
        <f>1894671.43-105259.53</f>
        <v>1789411.9</v>
      </c>
      <c r="AH74" s="240"/>
      <c r="AI74" s="240">
        <f>19138.09-1063.22</f>
        <v>18074.87</v>
      </c>
      <c r="AJ74" s="240"/>
      <c r="AK74" s="240"/>
      <c r="AL74" s="240"/>
      <c r="AM74" s="240"/>
      <c r="AN74" s="240"/>
      <c r="AO74" s="240"/>
    </row>
    <row r="75" spans="1:43" ht="24">
      <c r="A75" s="171" t="s">
        <v>49</v>
      </c>
      <c r="B75" s="30" t="s">
        <v>18</v>
      </c>
      <c r="C75" s="123">
        <f>180+360</f>
        <v>540</v>
      </c>
      <c r="D75" s="123">
        <v>360</v>
      </c>
      <c r="E75" s="124">
        <f>180000+360000</f>
        <v>540000</v>
      </c>
      <c r="F75" s="194">
        <f>E75/1000</f>
        <v>540</v>
      </c>
      <c r="G75" s="194">
        <f>F75-C75</f>
        <v>0</v>
      </c>
      <c r="H75" s="114"/>
      <c r="I75" s="114"/>
      <c r="J75" s="114"/>
      <c r="K75" s="114"/>
      <c r="L75" s="195"/>
      <c r="M75" s="195"/>
      <c r="N75" s="195"/>
      <c r="O75" s="195"/>
      <c r="P75" s="195"/>
      <c r="Q75" s="25">
        <f>AD75+AE75</f>
        <v>350000</v>
      </c>
      <c r="R75" s="195"/>
      <c r="S75" s="25">
        <f t="shared" si="57"/>
        <v>0</v>
      </c>
      <c r="T75" s="25">
        <f t="shared" si="57"/>
        <v>625000</v>
      </c>
      <c r="U75" s="25">
        <f t="shared" si="58"/>
        <v>0</v>
      </c>
      <c r="V75" s="25">
        <f t="shared" si="58"/>
        <v>0</v>
      </c>
      <c r="W75" s="25">
        <f t="shared" si="58"/>
        <v>0</v>
      </c>
      <c r="X75" s="25">
        <f t="shared" si="58"/>
        <v>0</v>
      </c>
      <c r="Y75" s="25">
        <f>AN75+AO75</f>
        <v>0</v>
      </c>
      <c r="Z75" s="25">
        <f t="shared" si="60"/>
        <v>0</v>
      </c>
      <c r="AA75" s="25">
        <f t="shared" si="60"/>
        <v>0</v>
      </c>
      <c r="AB75" s="25">
        <f t="shared" si="60"/>
        <v>0</v>
      </c>
      <c r="AC75" s="202">
        <v>902</v>
      </c>
      <c r="AD75" s="194"/>
      <c r="AE75" s="194">
        <v>350000</v>
      </c>
      <c r="AF75" s="194"/>
      <c r="AG75" s="194"/>
      <c r="AH75" s="194"/>
      <c r="AI75" s="194">
        <f>265000+360000</f>
        <v>625000</v>
      </c>
      <c r="AJ75" s="194"/>
      <c r="AK75" s="194"/>
      <c r="AL75" s="194"/>
      <c r="AM75" s="194"/>
      <c r="AN75" s="194"/>
      <c r="AO75" s="194"/>
    </row>
    <row r="76" spans="1:43" ht="24">
      <c r="A76" s="171" t="s">
        <v>49</v>
      </c>
      <c r="B76" s="30" t="s">
        <v>18</v>
      </c>
      <c r="C76" s="123"/>
      <c r="D76" s="123"/>
      <c r="E76" s="124"/>
      <c r="F76" s="194"/>
      <c r="G76" s="194"/>
      <c r="H76" s="114"/>
      <c r="I76" s="114"/>
      <c r="J76" s="114"/>
      <c r="K76" s="114"/>
      <c r="L76" s="195"/>
      <c r="M76" s="195"/>
      <c r="N76" s="195"/>
      <c r="O76" s="195"/>
      <c r="P76" s="195"/>
      <c r="Q76" s="25"/>
      <c r="R76" s="195"/>
      <c r="S76" s="25"/>
      <c r="T76" s="25">
        <f>AG76+AI76</f>
        <v>1914727.54</v>
      </c>
      <c r="U76" s="25">
        <f t="shared" si="58"/>
        <v>0</v>
      </c>
      <c r="V76" s="25">
        <f t="shared" si="58"/>
        <v>0</v>
      </c>
      <c r="W76" s="25">
        <f t="shared" si="58"/>
        <v>0</v>
      </c>
      <c r="X76" s="25">
        <f t="shared" si="58"/>
        <v>0</v>
      </c>
      <c r="Y76" s="25">
        <f>AN76+AO76</f>
        <v>0</v>
      </c>
      <c r="Z76" s="25">
        <f t="shared" si="60"/>
        <v>0</v>
      </c>
      <c r="AA76" s="25">
        <f t="shared" si="60"/>
        <v>0</v>
      </c>
      <c r="AB76" s="25">
        <f t="shared" si="60"/>
        <v>0</v>
      </c>
      <c r="AC76" s="202">
        <v>905</v>
      </c>
      <c r="AD76" s="194"/>
      <c r="AE76" s="194"/>
      <c r="AF76" s="194"/>
      <c r="AG76" s="194"/>
      <c r="AH76" s="194"/>
      <c r="AI76" s="194">
        <v>1914727.54</v>
      </c>
      <c r="AJ76" s="194"/>
      <c r="AK76" s="194"/>
      <c r="AL76" s="194"/>
      <c r="AM76" s="194"/>
      <c r="AN76" s="194"/>
      <c r="AO76" s="194"/>
    </row>
    <row r="77" spans="1:43" ht="24">
      <c r="A77" s="171" t="s">
        <v>49</v>
      </c>
      <c r="B77" s="30" t="s">
        <v>18</v>
      </c>
      <c r="C77" s="123"/>
      <c r="D77" s="123"/>
      <c r="E77" s="124"/>
      <c r="F77" s="194"/>
      <c r="G77" s="194"/>
      <c r="H77" s="114"/>
      <c r="I77" s="114"/>
      <c r="J77" s="114"/>
      <c r="K77" s="114"/>
      <c r="L77" s="195"/>
      <c r="M77" s="195"/>
      <c r="N77" s="195"/>
      <c r="O77" s="195"/>
      <c r="P77" s="195"/>
      <c r="Q77" s="25"/>
      <c r="R77" s="195"/>
      <c r="S77" s="25"/>
      <c r="T77" s="25">
        <v>1469046</v>
      </c>
      <c r="U77" s="25"/>
      <c r="V77" s="25">
        <f t="shared" ref="V77" si="61">AK77+AM77</f>
        <v>0</v>
      </c>
      <c r="W77" s="25">
        <f t="shared" ref="W77" si="62">AL77+AN77</f>
        <v>0</v>
      </c>
      <c r="X77" s="25">
        <f t="shared" ref="X77" si="63">AM77+AO77</f>
        <v>0</v>
      </c>
      <c r="Y77" s="25">
        <f>AN77+AO77</f>
        <v>0</v>
      </c>
      <c r="Z77" s="25">
        <f t="shared" ref="Z77" si="64">Y77-X77</f>
        <v>0</v>
      </c>
      <c r="AA77" s="25">
        <f t="shared" ref="AA77" si="65">Z77-Y77</f>
        <v>0</v>
      </c>
      <c r="AB77" s="25">
        <f t="shared" ref="AB77" si="66">AA77-Z77</f>
        <v>0</v>
      </c>
      <c r="AC77" s="202"/>
      <c r="AD77" s="194"/>
      <c r="AE77" s="194"/>
      <c r="AF77" s="194"/>
      <c r="AG77" s="194"/>
      <c r="AH77" s="194"/>
      <c r="AI77" s="194"/>
      <c r="AJ77" s="194"/>
      <c r="AK77" s="194"/>
      <c r="AL77" s="194"/>
      <c r="AM77" s="194"/>
      <c r="AN77" s="194"/>
      <c r="AO77" s="194"/>
    </row>
    <row r="78" spans="1:43" ht="25.5">
      <c r="A78" s="229" t="s">
        <v>55</v>
      </c>
      <c r="B78" s="230" t="s">
        <v>56</v>
      </c>
      <c r="C78" s="224"/>
      <c r="D78" s="224"/>
      <c r="E78" s="225"/>
      <c r="F78" s="201"/>
      <c r="G78" s="201"/>
      <c r="H78" s="226"/>
      <c r="I78" s="226"/>
      <c r="J78" s="226"/>
      <c r="K78" s="226"/>
      <c r="L78" s="219"/>
      <c r="M78" s="219"/>
      <c r="N78" s="219"/>
      <c r="O78" s="219"/>
      <c r="P78" s="219"/>
      <c r="Q78" s="24">
        <f>SUM(Q79:Q82)</f>
        <v>55335375.75</v>
      </c>
      <c r="R78" s="24">
        <f>SUM(R79:R82)</f>
        <v>0</v>
      </c>
      <c r="S78" s="24">
        <f>SUM(S79:S82)</f>
        <v>0</v>
      </c>
      <c r="T78" s="24">
        <f>SUM(T79:T82)</f>
        <v>53416972.859999999</v>
      </c>
      <c r="U78" s="24">
        <f>SUM(U79:U82)</f>
        <v>0</v>
      </c>
      <c r="V78" s="25">
        <f t="shared" ref="V78:V82" si="67">AK78+AM78</f>
        <v>0</v>
      </c>
      <c r="W78" s="25">
        <f t="shared" ref="W78:W82" si="68">AL78+AN78</f>
        <v>0</v>
      </c>
      <c r="X78" s="25">
        <f t="shared" ref="X78:X82" si="69">AM78+AO78</f>
        <v>0</v>
      </c>
      <c r="Y78" s="25">
        <f t="shared" ref="Y78:Y82" si="70">AN78+AO78</f>
        <v>0</v>
      </c>
      <c r="Z78" s="25">
        <f t="shared" si="60"/>
        <v>0</v>
      </c>
      <c r="AA78" s="25">
        <f t="shared" si="60"/>
        <v>0</v>
      </c>
      <c r="AB78" s="25">
        <f t="shared" si="60"/>
        <v>0</v>
      </c>
      <c r="AC78" s="24"/>
      <c r="AD78" s="24">
        <f t="shared" ref="AD78:AO78" si="71">SUM(AD79:AD82)</f>
        <v>0</v>
      </c>
      <c r="AE78" s="24">
        <f t="shared" si="71"/>
        <v>0</v>
      </c>
      <c r="AF78" s="24">
        <f t="shared" si="71"/>
        <v>0</v>
      </c>
      <c r="AG78" s="24">
        <f t="shared" si="71"/>
        <v>0</v>
      </c>
      <c r="AH78" s="24">
        <f t="shared" si="71"/>
        <v>0</v>
      </c>
      <c r="AI78" s="24">
        <f t="shared" si="71"/>
        <v>0</v>
      </c>
      <c r="AJ78" s="24">
        <f t="shared" si="71"/>
        <v>0</v>
      </c>
      <c r="AK78" s="24">
        <f t="shared" si="71"/>
        <v>0</v>
      </c>
      <c r="AL78" s="24">
        <f t="shared" si="71"/>
        <v>0</v>
      </c>
      <c r="AM78" s="24">
        <f t="shared" si="71"/>
        <v>0</v>
      </c>
      <c r="AN78" s="24">
        <f t="shared" si="71"/>
        <v>0</v>
      </c>
      <c r="AO78" s="24">
        <f t="shared" si="71"/>
        <v>0</v>
      </c>
    </row>
    <row r="79" spans="1:43">
      <c r="A79" s="115" t="s">
        <v>55</v>
      </c>
      <c r="B79" s="117" t="s">
        <v>56</v>
      </c>
      <c r="C79" s="123"/>
      <c r="D79" s="123"/>
      <c r="E79" s="124"/>
      <c r="F79" s="194"/>
      <c r="G79" s="194"/>
      <c r="H79" s="114"/>
      <c r="I79" s="114"/>
      <c r="J79" s="114"/>
      <c r="K79" s="114"/>
      <c r="L79" s="195"/>
      <c r="M79" s="195"/>
      <c r="N79" s="195"/>
      <c r="O79" s="195"/>
      <c r="P79" s="195"/>
      <c r="Q79" s="25">
        <f>7334375.75+1000</f>
        <v>7335375.75</v>
      </c>
      <c r="R79" s="195"/>
      <c r="S79" s="25"/>
      <c r="T79" s="195">
        <f>619379.5+13335012.53+700000-275.25-45942.47-72884.61-27600</f>
        <v>14507689.699999999</v>
      </c>
      <c r="U79" s="25"/>
      <c r="V79" s="25">
        <f t="shared" si="67"/>
        <v>0</v>
      </c>
      <c r="W79" s="25">
        <f t="shared" si="68"/>
        <v>0</v>
      </c>
      <c r="X79" s="25">
        <f t="shared" si="69"/>
        <v>0</v>
      </c>
      <c r="Y79" s="25">
        <f t="shared" si="70"/>
        <v>0</v>
      </c>
      <c r="Z79" s="25">
        <f t="shared" si="60"/>
        <v>0</v>
      </c>
      <c r="AA79" s="25">
        <f t="shared" si="60"/>
        <v>0</v>
      </c>
      <c r="AB79" s="25">
        <f t="shared" si="60"/>
        <v>0</v>
      </c>
      <c r="AC79" s="202">
        <v>905</v>
      </c>
      <c r="AD79" s="194"/>
      <c r="AE79" s="194"/>
      <c r="AF79" s="194"/>
      <c r="AG79" s="194"/>
      <c r="AH79" s="194"/>
      <c r="AI79" s="194"/>
      <c r="AJ79" s="194"/>
      <c r="AK79" s="194"/>
      <c r="AL79" s="194"/>
      <c r="AM79" s="194"/>
      <c r="AN79" s="194"/>
      <c r="AO79" s="194"/>
      <c r="AP79" s="116"/>
      <c r="AQ79" s="116"/>
    </row>
    <row r="80" spans="1:43">
      <c r="A80" s="115" t="s">
        <v>55</v>
      </c>
      <c r="B80" s="117" t="s">
        <v>56</v>
      </c>
      <c r="C80" s="211">
        <f>3208.7+534.9</f>
        <v>3743.6</v>
      </c>
      <c r="D80" s="212"/>
      <c r="E80" s="213">
        <f>3208759+534875</f>
        <v>3743634</v>
      </c>
      <c r="F80" s="194">
        <f>E80/1000</f>
        <v>3743.634</v>
      </c>
      <c r="G80" s="194">
        <f>F80-C80</f>
        <v>3.4000000000105501E-2</v>
      </c>
      <c r="H80" s="114"/>
      <c r="I80" s="114"/>
      <c r="J80" s="114"/>
      <c r="K80" s="114"/>
      <c r="L80" s="195">
        <v>124000</v>
      </c>
      <c r="M80" s="195"/>
      <c r="N80" s="195"/>
      <c r="O80" s="195"/>
      <c r="P80" s="195"/>
      <c r="Q80" s="195">
        <v>24000000</v>
      </c>
      <c r="R80" s="195"/>
      <c r="S80" s="25">
        <f>AF80+AH80</f>
        <v>0</v>
      </c>
      <c r="T80" s="195">
        <v>22574283.16</v>
      </c>
      <c r="U80" s="25">
        <f>AJ80+AL80</f>
        <v>0</v>
      </c>
      <c r="V80" s="25">
        <f t="shared" si="67"/>
        <v>0</v>
      </c>
      <c r="W80" s="25">
        <f t="shared" si="68"/>
        <v>0</v>
      </c>
      <c r="X80" s="25">
        <f t="shared" si="69"/>
        <v>0</v>
      </c>
      <c r="Y80" s="25">
        <f t="shared" si="70"/>
        <v>0</v>
      </c>
      <c r="Z80" s="25">
        <f t="shared" si="60"/>
        <v>0</v>
      </c>
      <c r="AA80" s="25">
        <f t="shared" si="60"/>
        <v>0</v>
      </c>
      <c r="AB80" s="25">
        <f t="shared" si="60"/>
        <v>0</v>
      </c>
      <c r="AC80" s="202">
        <v>906</v>
      </c>
      <c r="AD80" s="194"/>
      <c r="AE80" s="194"/>
      <c r="AF80" s="194"/>
      <c r="AG80" s="194"/>
      <c r="AH80" s="194"/>
      <c r="AI80" s="194"/>
      <c r="AJ80" s="194"/>
      <c r="AK80" s="194"/>
      <c r="AL80" s="194"/>
      <c r="AM80" s="194"/>
      <c r="AN80" s="194"/>
      <c r="AO80" s="194"/>
    </row>
    <row r="81" spans="1:41">
      <c r="A81" s="115" t="s">
        <v>55</v>
      </c>
      <c r="B81" s="117" t="s">
        <v>56</v>
      </c>
      <c r="C81" s="211"/>
      <c r="D81" s="212"/>
      <c r="E81" s="213"/>
      <c r="F81" s="194"/>
      <c r="G81" s="194"/>
      <c r="H81" s="114"/>
      <c r="I81" s="114"/>
      <c r="J81" s="114"/>
      <c r="K81" s="114"/>
      <c r="L81" s="195"/>
      <c r="M81" s="195"/>
      <c r="N81" s="195"/>
      <c r="O81" s="195"/>
      <c r="P81" s="195"/>
      <c r="Q81" s="195"/>
      <c r="R81" s="195"/>
      <c r="S81" s="25"/>
      <c r="T81" s="195">
        <v>8400000</v>
      </c>
      <c r="U81" s="25"/>
      <c r="V81" s="25">
        <f t="shared" si="67"/>
        <v>0</v>
      </c>
      <c r="W81" s="25">
        <f t="shared" si="68"/>
        <v>0</v>
      </c>
      <c r="X81" s="25">
        <f t="shared" si="69"/>
        <v>0</v>
      </c>
      <c r="Y81" s="25">
        <f t="shared" si="70"/>
        <v>0</v>
      </c>
      <c r="Z81" s="25">
        <f t="shared" si="60"/>
        <v>0</v>
      </c>
      <c r="AA81" s="25">
        <f t="shared" si="60"/>
        <v>0</v>
      </c>
      <c r="AB81" s="25">
        <f t="shared" si="60"/>
        <v>0</v>
      </c>
      <c r="AC81" s="202">
        <v>904</v>
      </c>
      <c r="AD81" s="194"/>
      <c r="AE81" s="194"/>
      <c r="AF81" s="194"/>
      <c r="AG81" s="194"/>
      <c r="AH81" s="194"/>
      <c r="AI81" s="194"/>
      <c r="AJ81" s="194"/>
      <c r="AK81" s="194"/>
      <c r="AL81" s="194"/>
      <c r="AM81" s="194"/>
      <c r="AN81" s="194"/>
      <c r="AO81" s="194"/>
    </row>
    <row r="82" spans="1:41" ht="16.899999999999999" customHeight="1">
      <c r="A82" s="115" t="s">
        <v>55</v>
      </c>
      <c r="B82" s="117" t="s">
        <v>56</v>
      </c>
      <c r="C82" s="211">
        <f>3208.7+534.9</f>
        <v>3743.6</v>
      </c>
      <c r="D82" s="212"/>
      <c r="E82" s="213">
        <f>3208759+534875</f>
        <v>3743634</v>
      </c>
      <c r="F82" s="194">
        <f>E82/1000</f>
        <v>3743.634</v>
      </c>
      <c r="G82" s="194">
        <f>F82-C82</f>
        <v>3.4000000000105501E-2</v>
      </c>
      <c r="H82" s="114"/>
      <c r="I82" s="114"/>
      <c r="J82" s="114"/>
      <c r="K82" s="114"/>
      <c r="L82" s="195">
        <v>124000</v>
      </c>
      <c r="M82" s="195"/>
      <c r="N82" s="195"/>
      <c r="O82" s="195"/>
      <c r="P82" s="195"/>
      <c r="Q82" s="195">
        <v>24000000</v>
      </c>
      <c r="R82" s="195"/>
      <c r="S82" s="25">
        <f>AF82+AH82</f>
        <v>0</v>
      </c>
      <c r="T82" s="195">
        <f>8000000-65000</f>
        <v>7935000</v>
      </c>
      <c r="U82" s="25">
        <f>AJ82+AL82</f>
        <v>0</v>
      </c>
      <c r="V82" s="25">
        <f t="shared" si="67"/>
        <v>0</v>
      </c>
      <c r="W82" s="25">
        <f t="shared" si="68"/>
        <v>0</v>
      </c>
      <c r="X82" s="25">
        <f t="shared" si="69"/>
        <v>0</v>
      </c>
      <c r="Y82" s="25">
        <f t="shared" si="70"/>
        <v>0</v>
      </c>
      <c r="Z82" s="25">
        <f t="shared" si="60"/>
        <v>0</v>
      </c>
      <c r="AA82" s="25">
        <f t="shared" si="60"/>
        <v>0</v>
      </c>
      <c r="AB82" s="25">
        <f t="shared" si="60"/>
        <v>0</v>
      </c>
      <c r="AC82" s="202">
        <v>907</v>
      </c>
      <c r="AD82" s="194"/>
      <c r="AE82" s="194"/>
      <c r="AF82" s="194"/>
      <c r="AG82" s="194"/>
      <c r="AH82" s="194"/>
      <c r="AI82" s="194"/>
      <c r="AJ82" s="194"/>
      <c r="AK82" s="194"/>
      <c r="AL82" s="194"/>
      <c r="AM82" s="194"/>
      <c r="AN82" s="194"/>
      <c r="AO82" s="194"/>
    </row>
    <row r="83" spans="1:41" hidden="1">
      <c r="C83" s="205">
        <f>C6</f>
        <v>864721.7</v>
      </c>
      <c r="D83" s="205">
        <f>D6</f>
        <v>360</v>
      </c>
      <c r="E83" s="205">
        <f>E6</f>
        <v>864721718.66999996</v>
      </c>
      <c r="F83" s="205">
        <f>F6</f>
        <v>832206.21461999987</v>
      </c>
      <c r="G83" s="205">
        <f>G6</f>
        <v>0.11462000000285499</v>
      </c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</row>
    <row r="84" spans="1:41" hidden="1">
      <c r="C84" s="116">
        <f>C6-C83</f>
        <v>0</v>
      </c>
      <c r="D84" s="116">
        <f>D6-D83</f>
        <v>0</v>
      </c>
      <c r="E84" s="116">
        <f>E6-E83</f>
        <v>0</v>
      </c>
      <c r="H84" s="206"/>
      <c r="I84" s="206"/>
      <c r="J84" s="206"/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hidden="1">
      <c r="A85" s="189" t="s">
        <v>137</v>
      </c>
      <c r="C85" s="116"/>
      <c r="D85" s="116"/>
      <c r="E85" s="116"/>
      <c r="H85" s="206">
        <v>0</v>
      </c>
      <c r="I85" s="206">
        <v>1</v>
      </c>
      <c r="J85" s="206"/>
      <c r="K85" s="206"/>
      <c r="L85" s="206">
        <f>L7</f>
        <v>28719000</v>
      </c>
      <c r="M85" s="206">
        <f>M7</f>
        <v>21255000</v>
      </c>
      <c r="N85" s="206">
        <f>N7</f>
        <v>0</v>
      </c>
      <c r="O85" s="206">
        <f>O7</f>
        <v>0</v>
      </c>
      <c r="P85" s="206">
        <f t="shared" ref="P85:S85" si="72">P10+P11+P8</f>
        <v>0</v>
      </c>
      <c r="Q85" s="206">
        <f t="shared" si="72"/>
        <v>21255000</v>
      </c>
      <c r="R85" s="206">
        <f t="shared" si="72"/>
        <v>0</v>
      </c>
      <c r="S85" s="206">
        <f t="shared" si="72"/>
        <v>0</v>
      </c>
      <c r="T85" s="206">
        <f>T10+T11+T8</f>
        <v>62307000</v>
      </c>
      <c r="U85" s="206">
        <f t="shared" ref="U85:AO85" si="73">U10+U11+U8</f>
        <v>0</v>
      </c>
      <c r="V85" s="206">
        <f t="shared" si="73"/>
        <v>4387000</v>
      </c>
      <c r="W85" s="206"/>
      <c r="X85" s="206"/>
      <c r="Y85" s="206">
        <f t="shared" si="73"/>
        <v>0</v>
      </c>
      <c r="Z85" s="206"/>
      <c r="AA85" s="206"/>
      <c r="AB85" s="206"/>
      <c r="AC85" s="206"/>
      <c r="AD85" s="206">
        <f t="shared" si="73"/>
        <v>0</v>
      </c>
      <c r="AE85" s="206">
        <f t="shared" si="73"/>
        <v>21255000</v>
      </c>
      <c r="AF85" s="206">
        <f t="shared" si="73"/>
        <v>0</v>
      </c>
      <c r="AG85" s="206">
        <f t="shared" si="73"/>
        <v>0</v>
      </c>
      <c r="AH85" s="206">
        <f t="shared" si="73"/>
        <v>0</v>
      </c>
      <c r="AI85" s="206">
        <f t="shared" si="73"/>
        <v>62307000</v>
      </c>
      <c r="AJ85" s="206">
        <f t="shared" si="73"/>
        <v>0</v>
      </c>
      <c r="AK85" s="206">
        <f t="shared" si="73"/>
        <v>0</v>
      </c>
      <c r="AL85" s="206">
        <f t="shared" si="73"/>
        <v>0</v>
      </c>
      <c r="AM85" s="206">
        <f t="shared" si="73"/>
        <v>4387000</v>
      </c>
      <c r="AN85" s="206">
        <f t="shared" si="73"/>
        <v>0</v>
      </c>
      <c r="AO85" s="206">
        <f t="shared" si="73"/>
        <v>0</v>
      </c>
    </row>
    <row r="86" spans="1:41" hidden="1">
      <c r="A86" s="189" t="s">
        <v>61</v>
      </c>
      <c r="C86" s="116"/>
      <c r="D86" s="116"/>
      <c r="E86" s="116"/>
      <c r="H86" s="206">
        <f>H28+H26+H38+H39+H40+H57+H58+H61+H62+H70+H7</f>
        <v>3325</v>
      </c>
      <c r="I86" s="206">
        <f>I28+I26+I38+I39+I40+I57+I58+I61+I62+I70+I7</f>
        <v>13244</v>
      </c>
      <c r="J86" s="206">
        <f>J28+J26+J38+J39+J40+J57+J58+J61+J62+J70+J7</f>
        <v>2221</v>
      </c>
      <c r="K86" s="206">
        <f>K28+K26+K38+K39+K40+K57+K58+K61+K62+K70+K7</f>
        <v>12180</v>
      </c>
      <c r="L86" s="206">
        <f>L28+L26+L38+L39+L40+L57+L58+L61+L62+L70+L60</f>
        <v>5831614.9000000004</v>
      </c>
      <c r="M86" s="206">
        <f>M28+M26+M38+M39+M40+M57+M58+M61+M62+M70+M60</f>
        <v>5819434.9000000004</v>
      </c>
      <c r="N86" s="206">
        <f>N28+N26+N38+N39+N40+N57+N58+N61+N62+N70+N60</f>
        <v>2180</v>
      </c>
      <c r="O86" s="206">
        <f>O28+O26+O38+O39+O40+O57+O58+O61+O62+O70+O60</f>
        <v>0</v>
      </c>
      <c r="P86" s="206">
        <f t="shared" ref="P86:V86" si="74">P26+P39+P40+P57+P60+P62+P68+P38+P58+P75</f>
        <v>0</v>
      </c>
      <c r="Q86" s="206">
        <f t="shared" si="74"/>
        <v>7662714.9000000004</v>
      </c>
      <c r="R86" s="206">
        <f t="shared" si="74"/>
        <v>3416921.05</v>
      </c>
      <c r="S86" s="206">
        <f t="shared" si="74"/>
        <v>5666928.8399999999</v>
      </c>
      <c r="T86" s="206">
        <f t="shared" si="74"/>
        <v>6383843</v>
      </c>
      <c r="U86" s="206">
        <f t="shared" si="74"/>
        <v>5999539.54</v>
      </c>
      <c r="V86" s="206">
        <f t="shared" si="74"/>
        <v>6350069.5099999998</v>
      </c>
      <c r="W86" s="206"/>
      <c r="X86" s="206"/>
      <c r="Y86" s="206">
        <f>Y26+Y39+Y40+Y57+Y60+Y62+Y68+Y38+Y58+Y75</f>
        <v>5555896.0499999998</v>
      </c>
      <c r="Z86" s="206"/>
      <c r="AA86" s="206"/>
      <c r="AB86" s="206"/>
      <c r="AC86" s="206"/>
      <c r="AD86" s="206">
        <f t="shared" ref="AD86:AO86" si="75">AD26+AD39+AD40+AD57+AD60+AD62+AD68+AD38+AD58+AD75</f>
        <v>3270416.61</v>
      </c>
      <c r="AE86" s="206">
        <f t="shared" si="75"/>
        <v>4392298.29</v>
      </c>
      <c r="AF86" s="206">
        <f t="shared" si="75"/>
        <v>1838758.69</v>
      </c>
      <c r="AG86" s="206">
        <f t="shared" si="75"/>
        <v>1750517.57</v>
      </c>
      <c r="AH86" s="206">
        <f t="shared" si="75"/>
        <v>3828170.15</v>
      </c>
      <c r="AI86" s="206">
        <f t="shared" si="75"/>
        <v>4633325.43</v>
      </c>
      <c r="AJ86" s="206">
        <f t="shared" si="75"/>
        <v>2138015.89</v>
      </c>
      <c r="AK86" s="206">
        <f t="shared" si="75"/>
        <v>2330680.09</v>
      </c>
      <c r="AL86" s="206">
        <f t="shared" si="75"/>
        <v>3861523.65</v>
      </c>
      <c r="AM86" s="206">
        <f t="shared" si="75"/>
        <v>4019389.42</v>
      </c>
      <c r="AN86" s="206">
        <f t="shared" si="75"/>
        <v>1656912.55</v>
      </c>
      <c r="AO86" s="206">
        <f t="shared" si="75"/>
        <v>3898983.5</v>
      </c>
    </row>
    <row r="87" spans="1:41" hidden="1">
      <c r="A87" s="189" t="s">
        <v>63</v>
      </c>
      <c r="H87" s="206">
        <f t="shared" ref="H87:O87" si="76">H67</f>
        <v>3104</v>
      </c>
      <c r="I87" s="206">
        <f t="shared" si="76"/>
        <v>5684</v>
      </c>
      <c r="J87" s="206">
        <f t="shared" si="76"/>
        <v>3954</v>
      </c>
      <c r="K87" s="206">
        <f t="shared" si="76"/>
        <v>5031</v>
      </c>
      <c r="L87" s="206">
        <f t="shared" si="76"/>
        <v>15914522</v>
      </c>
      <c r="M87" s="206">
        <f t="shared" si="76"/>
        <v>15909491</v>
      </c>
      <c r="N87" s="206">
        <f t="shared" si="76"/>
        <v>4385</v>
      </c>
      <c r="O87" s="206">
        <f t="shared" si="76"/>
        <v>0</v>
      </c>
      <c r="P87" s="206">
        <f>P45+P67</f>
        <v>0</v>
      </c>
      <c r="Q87" s="206">
        <f>Q45+Q67</f>
        <v>15914522</v>
      </c>
      <c r="R87" s="206">
        <f>R45+R67</f>
        <v>19253400</v>
      </c>
      <c r="S87" s="206">
        <f>S45+S67</f>
        <v>60930701</v>
      </c>
      <c r="T87" s="206">
        <f>T45+T67+T81</f>
        <v>30688869</v>
      </c>
      <c r="U87" s="206">
        <f>U45+U67+U81</f>
        <v>64126632</v>
      </c>
      <c r="V87" s="206">
        <f>V45+V67+V81</f>
        <v>25352300</v>
      </c>
      <c r="W87" s="206"/>
      <c r="X87" s="206"/>
      <c r="Y87" s="206">
        <f>Y45+Y67+Y81</f>
        <v>24249200</v>
      </c>
      <c r="Z87" s="206"/>
      <c r="AA87" s="206"/>
      <c r="AB87" s="206"/>
      <c r="AC87" s="206"/>
      <c r="AD87" s="206">
        <f t="shared" ref="AD87:AO87" si="77">AD45+AD67+AD81</f>
        <v>3710522</v>
      </c>
      <c r="AE87" s="206">
        <f t="shared" si="77"/>
        <v>12204000</v>
      </c>
      <c r="AF87" s="206">
        <f t="shared" si="77"/>
        <v>14205701</v>
      </c>
      <c r="AG87" s="206">
        <f t="shared" si="77"/>
        <v>4501000</v>
      </c>
      <c r="AH87" s="206">
        <f t="shared" si="77"/>
        <v>46725000</v>
      </c>
      <c r="AI87" s="206">
        <f t="shared" si="77"/>
        <v>17787869</v>
      </c>
      <c r="AJ87" s="206">
        <f t="shared" si="77"/>
        <v>14882914</v>
      </c>
      <c r="AK87" s="206">
        <f t="shared" si="77"/>
        <v>5818300</v>
      </c>
      <c r="AL87" s="206">
        <f t="shared" si="77"/>
        <v>49243718</v>
      </c>
      <c r="AM87" s="206">
        <f t="shared" si="77"/>
        <v>19534000</v>
      </c>
      <c r="AN87" s="206">
        <f t="shared" si="77"/>
        <v>5454200</v>
      </c>
      <c r="AO87" s="206">
        <f t="shared" si="77"/>
        <v>18795000</v>
      </c>
    </row>
    <row r="88" spans="1:41" hidden="1">
      <c r="A88" s="189" t="s">
        <v>60</v>
      </c>
      <c r="H88" s="206">
        <f>H18+H32+H33+H37+H54+H55+H56+H65+H66</f>
        <v>601453</v>
      </c>
      <c r="I88" s="206">
        <f>I18+I32+I33+I37+I54+I55+I56+I65+I66</f>
        <v>770705.8</v>
      </c>
      <c r="J88" s="206">
        <f>J18+J32+J33+J37+J54+J55+J56+J65+J66</f>
        <v>688970</v>
      </c>
      <c r="K88" s="206">
        <f>K18+K32+K33+K37+K54+K55+K56+K65+K66</f>
        <v>535811</v>
      </c>
      <c r="L88" s="206">
        <f>L18+L32+L33+L37+L54+L55+L56+L65+L66+L21+L73+L24</f>
        <v>1037630793.11</v>
      </c>
      <c r="M88" s="206">
        <f>M18+M32+M33+M37+M54+M55+M56+M65+M66+M21+M73+M24</f>
        <v>998494982.11000001</v>
      </c>
      <c r="N88" s="206">
        <f>N18+N32+N33+N37+N54+N55+N56+N65+N66+N21+N73+N24</f>
        <v>408610</v>
      </c>
      <c r="O88" s="206">
        <f>O18+O32+O33+O37+O54+O55+O56+O65+O66+O21+O73+O24</f>
        <v>0</v>
      </c>
      <c r="P88" s="206">
        <f>P16+P17+P22+P24+P32+P33+P37+P44+P54+P55+P56+P66+P65+P73+P74+P82+P23</f>
        <v>0</v>
      </c>
      <c r="Q88" s="206">
        <f>Q16+Q17+Q22+Q24+Q32+Q33+Q37+Q44+Q54+Q55+Q56+Q66+Q65+Q73+Q74+Q82+Q23</f>
        <v>1063656000.7199999</v>
      </c>
      <c r="R88" s="206">
        <f>R16+R17+R22+R24+R32+R33+R37+R44+R54+R55+R56+R66+R65+R73+R74+R82+R23</f>
        <v>869640858</v>
      </c>
      <c r="S88" s="206">
        <f>S16+S17+S22+S24+S32+S33+S37+S44+S54+S55+S56+S66+S65+S73+S74+S82+S23</f>
        <v>1006693083.1800001</v>
      </c>
      <c r="T88" s="206">
        <f>T16+T17+T22+T24+T32+T33+T37+T44+T54+T55+T56+T66+T65+T73+T74+T80+T23+T72</f>
        <v>1164628850.96</v>
      </c>
      <c r="U88" s="206">
        <f>U16+U17+U22+U24+U32+U33+U37+U44+U54+U55+U56+U66+U65+U73+U74+U80+U23+U72</f>
        <v>1129403808.21</v>
      </c>
      <c r="V88" s="206">
        <f>V16+V17+V22+V24+V32+V33+V37+V44+V54+V55+V56+V66+V65+V73+V74+V80+V23+V72</f>
        <v>1039272000</v>
      </c>
      <c r="W88" s="206"/>
      <c r="X88" s="206"/>
      <c r="Y88" s="206">
        <f>Y16+Y17+Y22+Y24+Y32+Y33+Y37+Y44+Y54+Y55+Y56+Y66+Y65+Y73+Y74+Y80+Y23+Y72</f>
        <v>1055341000</v>
      </c>
      <c r="Z88" s="206"/>
      <c r="AA88" s="206"/>
      <c r="AB88" s="206"/>
      <c r="AC88" s="206"/>
      <c r="AD88" s="206">
        <f t="shared" ref="AD88:AO88" si="78">AD16+AD17+AD22+AD24+AD32+AD33+AD37+AD44+AD54+AD55+AD56+AD66+AD65+AD73+AD74+AD80+AD23+AD72</f>
        <v>77542783.530000001</v>
      </c>
      <c r="AE88" s="206">
        <f t="shared" si="78"/>
        <v>962113217.19000006</v>
      </c>
      <c r="AF88" s="206">
        <f t="shared" si="78"/>
        <v>102940741.41</v>
      </c>
      <c r="AG88" s="206">
        <f t="shared" si="78"/>
        <v>163806932.72</v>
      </c>
      <c r="AH88" s="206">
        <f t="shared" si="78"/>
        <v>903752341.76999998</v>
      </c>
      <c r="AI88" s="206">
        <f t="shared" si="78"/>
        <v>978247635.08000004</v>
      </c>
      <c r="AJ88" s="206">
        <f t="shared" si="78"/>
        <v>74131605</v>
      </c>
      <c r="AK88" s="206">
        <f t="shared" si="78"/>
        <v>73300000</v>
      </c>
      <c r="AL88" s="206">
        <f t="shared" si="78"/>
        <v>1055272203.21</v>
      </c>
      <c r="AM88" s="206">
        <f t="shared" si="78"/>
        <v>965972000</v>
      </c>
      <c r="AN88" s="206">
        <f t="shared" si="78"/>
        <v>70096000</v>
      </c>
      <c r="AO88" s="206">
        <f t="shared" si="78"/>
        <v>985245000</v>
      </c>
    </row>
    <row r="89" spans="1:41" hidden="1">
      <c r="A89" s="189" t="s">
        <v>64</v>
      </c>
      <c r="H89" s="206">
        <f>H27+H69+H74</f>
        <v>110</v>
      </c>
      <c r="I89" s="206">
        <f>I27+I69+I74</f>
        <v>4134.2</v>
      </c>
      <c r="J89" s="206">
        <f>J27+J69+J74</f>
        <v>110</v>
      </c>
      <c r="K89" s="206">
        <f>K27+K69+K74</f>
        <v>1111</v>
      </c>
      <c r="L89" s="206">
        <f>L27+L69+L47</f>
        <v>18685426.879999999</v>
      </c>
      <c r="M89" s="206">
        <f>M27+M69+M47</f>
        <v>18685315.879999999</v>
      </c>
      <c r="N89" s="206">
        <f>N27+N69+N47</f>
        <v>111</v>
      </c>
      <c r="O89" s="206">
        <f>O27+O69+O47</f>
        <v>0</v>
      </c>
      <c r="P89" s="206">
        <f>P27+P46+P47+P69+P12+P51+P42+P43+P20</f>
        <v>0</v>
      </c>
      <c r="Q89" s="206">
        <f>Q27+Q46+Q47+Q69+Q12+Q51+Q42+Q43+Q20</f>
        <v>37177587.879999995</v>
      </c>
      <c r="R89" s="206">
        <f>R27+R46+R47+R69+R12+R51+R42+R43+R20</f>
        <v>80995</v>
      </c>
      <c r="S89" s="206">
        <f>S27+S46+S47+S69+S12+S51+S42+S43+S20</f>
        <v>10201991</v>
      </c>
      <c r="T89" s="206">
        <f>T27+T46+T47+T69+T12+T51+T42+T43+T20+T49+T82</f>
        <v>8673622</v>
      </c>
      <c r="U89" s="206">
        <f>U27+U46+U47+U69+U12+U51+U42+U43+U20+U49+U82</f>
        <v>185599</v>
      </c>
      <c r="V89" s="206">
        <f>V27+V46+V47+V69+V12+V51+V42+V43+V20+V49+V82</f>
        <v>4163348</v>
      </c>
      <c r="W89" s="206"/>
      <c r="X89" s="206"/>
      <c r="Y89" s="206">
        <f>Y27+Y46+Y47+Y69+Y12+Y51+Y42+Y43+Y20+Y49+Y82</f>
        <v>67398472</v>
      </c>
      <c r="Z89" s="206"/>
      <c r="AA89" s="206"/>
      <c r="AB89" s="206"/>
      <c r="AC89" s="206"/>
      <c r="AD89" s="206">
        <f t="shared" ref="AD89:AO89" si="79">AD27+AD46+AD47+AD69+AD12+AD51+AD42+AD43+AD20+AD49+AD82</f>
        <v>16718335</v>
      </c>
      <c r="AE89" s="206">
        <f t="shared" si="79"/>
        <v>20459252.879999999</v>
      </c>
      <c r="AF89" s="206">
        <f t="shared" si="79"/>
        <v>59209</v>
      </c>
      <c r="AG89" s="206">
        <f t="shared" si="79"/>
        <v>45272</v>
      </c>
      <c r="AH89" s="206">
        <f t="shared" si="79"/>
        <v>10142782</v>
      </c>
      <c r="AI89" s="206">
        <f t="shared" si="79"/>
        <v>693350</v>
      </c>
      <c r="AJ89" s="206">
        <f t="shared" si="79"/>
        <v>62063</v>
      </c>
      <c r="AK89" s="206">
        <f t="shared" si="79"/>
        <v>47759</v>
      </c>
      <c r="AL89" s="206">
        <f t="shared" si="79"/>
        <v>123536</v>
      </c>
      <c r="AM89" s="206">
        <f t="shared" si="79"/>
        <v>4115589</v>
      </c>
      <c r="AN89" s="206">
        <f t="shared" si="79"/>
        <v>49046975</v>
      </c>
      <c r="AO89" s="206">
        <f t="shared" si="79"/>
        <v>18351497</v>
      </c>
    </row>
    <row r="90" spans="1:41" hidden="1">
      <c r="A90" s="189" t="s">
        <v>62</v>
      </c>
      <c r="H90" s="206">
        <f>H14+H29+H19+H63+H64</f>
        <v>1286</v>
      </c>
      <c r="I90" s="206">
        <f>I14+I29+I19+I63+I64</f>
        <v>42332</v>
      </c>
      <c r="J90" s="206">
        <f t="shared" ref="J90:S90" si="80">J9+J14+J15+J19+J29+J34+J36+J48+J59+J63+J79+J64+J50+J49+J35</f>
        <v>1286</v>
      </c>
      <c r="K90" s="206">
        <f t="shared" si="80"/>
        <v>2581</v>
      </c>
      <c r="L90" s="206">
        <f t="shared" si="80"/>
        <v>77733000.409999996</v>
      </c>
      <c r="M90" s="206">
        <f t="shared" si="80"/>
        <v>77730419.409999996</v>
      </c>
      <c r="N90" s="206">
        <f t="shared" si="80"/>
        <v>2649</v>
      </c>
      <c r="O90" s="206">
        <f t="shared" si="80"/>
        <v>0</v>
      </c>
      <c r="P90" s="206">
        <f t="shared" si="80"/>
        <v>0</v>
      </c>
      <c r="Q90" s="206">
        <f t="shared" si="80"/>
        <v>86017376.159999996</v>
      </c>
      <c r="R90" s="206">
        <f t="shared" si="80"/>
        <v>51965387.739999995</v>
      </c>
      <c r="S90" s="206">
        <f t="shared" si="80"/>
        <v>68164415.269999996</v>
      </c>
      <c r="T90" s="206">
        <f>T9+T14+T15+T19+T29+T34+T36+T48+T59+T63+T79+T64+T50+T35+T76</f>
        <v>111170203.44000001</v>
      </c>
      <c r="U90" s="206">
        <f>U9+U14+U15+U19+U29+U34+U36+U48+U59+U63+U79+U64+U50+U35+U76</f>
        <v>61318000</v>
      </c>
      <c r="V90" s="206">
        <f>V9+V14+V15+V19+V29+V34+V36+V48+V59+V63+V79+V64+V50+V35+V76</f>
        <v>62948000</v>
      </c>
      <c r="W90" s="206"/>
      <c r="X90" s="206"/>
      <c r="Y90" s="206">
        <f>Y9+Y14+Y15+Y19+Y29+Y34+Y36+Y48+Y59+Y63+Y79+Y64+Y50+Y35+Y76</f>
        <v>638848100</v>
      </c>
      <c r="Z90" s="206"/>
      <c r="AA90" s="206"/>
      <c r="AB90" s="206"/>
      <c r="AC90" s="206"/>
      <c r="AD90" s="206">
        <f t="shared" ref="AD90:AO90" si="81">AD9+AD14+AD15+AD19+AD29+AD34+AD36+AD48+AD59+AD63+AD79+AD64+AD50+AD35+AD76</f>
        <v>11932448.67</v>
      </c>
      <c r="AE90" s="206">
        <f t="shared" si="81"/>
        <v>66749551.739999995</v>
      </c>
      <c r="AF90" s="206">
        <f t="shared" si="81"/>
        <v>18287591.640000001</v>
      </c>
      <c r="AG90" s="206">
        <f t="shared" si="81"/>
        <v>13208704.34</v>
      </c>
      <c r="AH90" s="206">
        <f t="shared" si="81"/>
        <v>49876823.629999995</v>
      </c>
      <c r="AI90" s="206">
        <f t="shared" si="81"/>
        <v>83453809.400000006</v>
      </c>
      <c r="AJ90" s="206">
        <f t="shared" si="81"/>
        <v>0</v>
      </c>
      <c r="AK90" s="206">
        <f t="shared" si="81"/>
        <v>0</v>
      </c>
      <c r="AL90" s="206">
        <f t="shared" si="81"/>
        <v>61318000</v>
      </c>
      <c r="AM90" s="206">
        <f t="shared" si="81"/>
        <v>62948000</v>
      </c>
      <c r="AN90" s="206">
        <f t="shared" si="81"/>
        <v>484163600</v>
      </c>
      <c r="AO90" s="206">
        <f t="shared" si="81"/>
        <v>154684500</v>
      </c>
    </row>
    <row r="91" spans="1:41" hidden="1">
      <c r="H91" s="206"/>
      <c r="I91" s="206"/>
      <c r="J91" s="206"/>
      <c r="K91" s="206"/>
      <c r="L91" s="206"/>
      <c r="M91" s="206"/>
      <c r="N91" s="206"/>
      <c r="O91" s="206"/>
      <c r="P91" s="206"/>
      <c r="Q91" s="206"/>
      <c r="R91" s="206"/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6"/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</row>
    <row r="92" spans="1:41" hidden="1">
      <c r="H92" s="207">
        <f t="shared" ref="H92:N92" si="82">SUM(H85:H91)</f>
        <v>609278</v>
      </c>
      <c r="I92" s="207">
        <f t="shared" si="82"/>
        <v>836101</v>
      </c>
      <c r="J92" s="207">
        <f t="shared" si="82"/>
        <v>696541</v>
      </c>
      <c r="K92" s="207">
        <f t="shared" si="82"/>
        <v>556714</v>
      </c>
      <c r="L92" s="207">
        <f>SUM(L85:L91)</f>
        <v>1184514357.3000002</v>
      </c>
      <c r="M92" s="207">
        <f t="shared" si="82"/>
        <v>1137894643.3</v>
      </c>
      <c r="N92" s="207">
        <f t="shared" si="82"/>
        <v>417935</v>
      </c>
      <c r="O92" s="207"/>
      <c r="P92" s="207"/>
      <c r="Q92" s="207">
        <f>SUM(Q85:Q91)</f>
        <v>1231683201.6600001</v>
      </c>
      <c r="R92" s="207">
        <f t="shared" ref="R92:AO92" si="83">SUM(R85:R91)</f>
        <v>944357561.78999996</v>
      </c>
      <c r="S92" s="207">
        <f t="shared" si="83"/>
        <v>1151657119.29</v>
      </c>
      <c r="T92" s="207">
        <f t="shared" si="83"/>
        <v>1383852388.4000001</v>
      </c>
      <c r="U92" s="207">
        <f t="shared" si="83"/>
        <v>1261033578.75</v>
      </c>
      <c r="V92" s="207">
        <f t="shared" si="83"/>
        <v>1142472717.51</v>
      </c>
      <c r="W92" s="207"/>
      <c r="X92" s="207"/>
      <c r="Y92" s="207">
        <f t="shared" si="83"/>
        <v>1791392668.05</v>
      </c>
      <c r="Z92" s="207"/>
      <c r="AA92" s="207"/>
      <c r="AB92" s="207"/>
      <c r="AC92" s="207"/>
      <c r="AD92" s="207">
        <f t="shared" si="83"/>
        <v>113174505.81</v>
      </c>
      <c r="AE92" s="207">
        <f t="shared" si="83"/>
        <v>1087173320.0999999</v>
      </c>
      <c r="AF92" s="207">
        <f t="shared" si="83"/>
        <v>137332001.74000001</v>
      </c>
      <c r="AG92" s="207">
        <f t="shared" si="83"/>
        <v>183312426.63</v>
      </c>
      <c r="AH92" s="207">
        <f t="shared" si="83"/>
        <v>1014325117.55</v>
      </c>
      <c r="AI92" s="207">
        <f t="shared" si="83"/>
        <v>1147122988.9100001</v>
      </c>
      <c r="AJ92" s="207">
        <f t="shared" si="83"/>
        <v>91214597.890000001</v>
      </c>
      <c r="AK92" s="207">
        <f t="shared" si="83"/>
        <v>81496739.090000004</v>
      </c>
      <c r="AL92" s="207">
        <f t="shared" si="83"/>
        <v>1169818980.8600001</v>
      </c>
      <c r="AM92" s="207">
        <f t="shared" si="83"/>
        <v>1060975978.42</v>
      </c>
      <c r="AN92" s="207">
        <f t="shared" si="83"/>
        <v>610417687.54999995</v>
      </c>
      <c r="AO92" s="207">
        <f t="shared" si="83"/>
        <v>1180974980.5</v>
      </c>
    </row>
    <row r="93" spans="1:41" hidden="1"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</row>
    <row r="94" spans="1:41" hidden="1"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</row>
    <row r="95" spans="1:41" hidden="1">
      <c r="A95" s="189">
        <v>0</v>
      </c>
      <c r="H95" s="206">
        <f t="shared" ref="H95:N95" si="84">H92-H5</f>
        <v>0</v>
      </c>
      <c r="I95" s="206">
        <f t="shared" si="84"/>
        <v>1</v>
      </c>
      <c r="J95" s="206">
        <f t="shared" si="84"/>
        <v>0</v>
      </c>
      <c r="K95" s="206">
        <f t="shared" si="84"/>
        <v>11000</v>
      </c>
      <c r="L95" s="206">
        <f t="shared" si="84"/>
        <v>-2761904.4199995995</v>
      </c>
      <c r="M95" s="206">
        <f t="shared" si="84"/>
        <v>-1424207.6099998951</v>
      </c>
      <c r="N95" s="206">
        <f t="shared" si="84"/>
        <v>0</v>
      </c>
      <c r="O95" s="206"/>
      <c r="P95" s="206"/>
      <c r="Q95" s="206">
        <f t="shared" ref="Q95:V95" si="85">Q92-Q5</f>
        <v>-23999999.999999762</v>
      </c>
      <c r="R95" s="206">
        <f t="shared" si="85"/>
        <v>-38489000</v>
      </c>
      <c r="S95" s="206">
        <f t="shared" si="85"/>
        <v>0</v>
      </c>
      <c r="T95" s="206">
        <f t="shared" si="85"/>
        <v>-1469045.9999997616</v>
      </c>
      <c r="U95" s="206">
        <f t="shared" si="85"/>
        <v>0</v>
      </c>
      <c r="V95" s="206">
        <f t="shared" si="85"/>
        <v>0</v>
      </c>
      <c r="W95" s="206"/>
      <c r="X95" s="206"/>
      <c r="Y95" s="206">
        <f>Y92-Y5</f>
        <v>0</v>
      </c>
      <c r="Z95" s="206"/>
      <c r="AA95" s="206"/>
      <c r="AB95" s="206"/>
      <c r="AC95" s="206"/>
      <c r="AD95" s="206">
        <f t="shared" ref="AD95:AO95" si="86">AD92-AD5</f>
        <v>0</v>
      </c>
      <c r="AE95" s="206">
        <f t="shared" si="86"/>
        <v>0</v>
      </c>
      <c r="AF95" s="206">
        <f t="shared" si="86"/>
        <v>0</v>
      </c>
      <c r="AG95" s="206">
        <f t="shared" si="86"/>
        <v>0</v>
      </c>
      <c r="AH95" s="206">
        <f t="shared" si="86"/>
        <v>0</v>
      </c>
      <c r="AI95" s="206">
        <f t="shared" si="86"/>
        <v>0</v>
      </c>
      <c r="AJ95" s="206">
        <f t="shared" si="86"/>
        <v>0</v>
      </c>
      <c r="AK95" s="206">
        <f t="shared" si="86"/>
        <v>0</v>
      </c>
      <c r="AL95" s="206">
        <f t="shared" si="86"/>
        <v>0</v>
      </c>
      <c r="AM95" s="206">
        <f t="shared" si="86"/>
        <v>0</v>
      </c>
      <c r="AN95" s="206">
        <f t="shared" si="86"/>
        <v>0</v>
      </c>
      <c r="AO95" s="206">
        <f t="shared" si="86"/>
        <v>0</v>
      </c>
    </row>
    <row r="96" spans="1:41" hidden="1"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</row>
    <row r="97" spans="12:41" hidden="1">
      <c r="L97" s="116"/>
      <c r="M97" s="116"/>
      <c r="N97" s="116"/>
      <c r="O97" s="116"/>
      <c r="P97" s="116"/>
      <c r="Q97" s="116">
        <f t="shared" ref="Q97:R97" si="87">SUM(Q85:Q90)</f>
        <v>1231683201.6600001</v>
      </c>
      <c r="R97" s="116">
        <f t="shared" si="87"/>
        <v>944357561.78999996</v>
      </c>
      <c r="S97" s="116">
        <f>SUM(S85:S90)</f>
        <v>1151657119.29</v>
      </c>
      <c r="T97" s="116">
        <f>SUM(T85:T90)</f>
        <v>1383852388.4000001</v>
      </c>
      <c r="U97" s="116">
        <f t="shared" ref="U97:AO97" si="88">SUM(U85:U90)</f>
        <v>1261033578.75</v>
      </c>
      <c r="V97" s="116">
        <f t="shared" si="88"/>
        <v>1142472717.51</v>
      </c>
      <c r="W97" s="116"/>
      <c r="X97" s="116"/>
      <c r="Y97" s="116">
        <f t="shared" si="88"/>
        <v>1791392668.05</v>
      </c>
      <c r="Z97" s="116"/>
      <c r="AA97" s="116"/>
      <c r="AB97" s="116"/>
      <c r="AC97" s="116"/>
      <c r="AD97" s="116">
        <f t="shared" si="88"/>
        <v>113174505.81</v>
      </c>
      <c r="AE97" s="116">
        <f t="shared" si="88"/>
        <v>1087173320.0999999</v>
      </c>
      <c r="AF97" s="116">
        <f t="shared" si="88"/>
        <v>137332001.74000001</v>
      </c>
      <c r="AG97" s="116">
        <f t="shared" si="88"/>
        <v>183312426.63</v>
      </c>
      <c r="AH97" s="116">
        <f t="shared" si="88"/>
        <v>1014325117.55</v>
      </c>
      <c r="AI97" s="116">
        <f t="shared" si="88"/>
        <v>1147122988.9100001</v>
      </c>
      <c r="AJ97" s="116">
        <f t="shared" si="88"/>
        <v>91214597.890000001</v>
      </c>
      <c r="AK97" s="116">
        <f t="shared" si="88"/>
        <v>81496739.090000004</v>
      </c>
      <c r="AL97" s="116">
        <f t="shared" si="88"/>
        <v>1169818980.8600001</v>
      </c>
      <c r="AM97" s="116">
        <f t="shared" si="88"/>
        <v>1060975978.42</v>
      </c>
      <c r="AN97" s="116">
        <f t="shared" si="88"/>
        <v>610417687.54999995</v>
      </c>
      <c r="AO97" s="116">
        <f t="shared" si="88"/>
        <v>1180974980.5</v>
      </c>
    </row>
    <row r="98" spans="12:41" hidden="1">
      <c r="L98" s="116"/>
      <c r="M98" s="116"/>
      <c r="N98" s="116"/>
      <c r="O98" s="116"/>
      <c r="P98" s="116"/>
      <c r="Q98" s="116">
        <f>Q97-Q5</f>
        <v>-23999999.999999762</v>
      </c>
      <c r="R98" s="116">
        <f>R97-R5</f>
        <v>-38489000</v>
      </c>
      <c r="S98" s="116">
        <f>S97-S5</f>
        <v>0</v>
      </c>
      <c r="T98" s="116">
        <f>T97-T6</f>
        <v>51947926.860000134</v>
      </c>
      <c r="U98" s="116">
        <f>U97-U6</f>
        <v>0</v>
      </c>
      <c r="V98" s="116">
        <f>V97-V6</f>
        <v>0</v>
      </c>
      <c r="W98" s="116"/>
      <c r="X98" s="116"/>
      <c r="Y98" s="116">
        <f>Y97-Y6</f>
        <v>0</v>
      </c>
      <c r="Z98" s="116"/>
      <c r="AA98" s="116"/>
      <c r="AB98" s="116"/>
      <c r="AC98" s="116"/>
      <c r="AD98" s="116">
        <f t="shared" ref="AD98:AO98" si="89">AD97-AD6</f>
        <v>0</v>
      </c>
      <c r="AE98" s="116">
        <f t="shared" si="89"/>
        <v>0</v>
      </c>
      <c r="AF98" s="116">
        <f t="shared" si="89"/>
        <v>0</v>
      </c>
      <c r="AG98" s="116">
        <f t="shared" si="89"/>
        <v>0</v>
      </c>
      <c r="AH98" s="116">
        <f t="shared" si="89"/>
        <v>0</v>
      </c>
      <c r="AI98" s="116">
        <f t="shared" si="89"/>
        <v>0</v>
      </c>
      <c r="AJ98" s="116">
        <f t="shared" si="89"/>
        <v>0</v>
      </c>
      <c r="AK98" s="116">
        <f t="shared" si="89"/>
        <v>0</v>
      </c>
      <c r="AL98" s="116">
        <f t="shared" si="89"/>
        <v>0</v>
      </c>
      <c r="AM98" s="116">
        <f t="shared" si="89"/>
        <v>0</v>
      </c>
      <c r="AN98" s="116">
        <f t="shared" si="89"/>
        <v>0</v>
      </c>
      <c r="AO98" s="116">
        <f t="shared" si="89"/>
        <v>0</v>
      </c>
    </row>
    <row r="99" spans="12:41" hidden="1"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</row>
    <row r="100" spans="12:41" hidden="1"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  <c r="AI100" s="116"/>
      <c r="AJ100" s="116"/>
      <c r="AK100" s="116"/>
      <c r="AL100" s="116"/>
      <c r="AM100" s="116"/>
      <c r="AN100" s="116"/>
      <c r="AO100" s="116"/>
    </row>
    <row r="101" spans="12:41"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N101" s="116"/>
      <c r="AO101" s="116"/>
    </row>
    <row r="102" spans="12:41"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  <c r="AI102" s="116"/>
      <c r="AJ102" s="116"/>
      <c r="AK102" s="116"/>
      <c r="AL102" s="116"/>
      <c r="AM102" s="116"/>
      <c r="AN102" s="116"/>
      <c r="AO102" s="116"/>
    </row>
    <row r="103" spans="12:41"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</row>
    <row r="115" spans="20:24">
      <c r="T115" s="116"/>
      <c r="U115" s="116"/>
      <c r="V115" s="116"/>
      <c r="W115" s="116"/>
      <c r="X115" s="116"/>
    </row>
  </sheetData>
  <autoFilter ref="A4:AQ90">
    <filterColumn colId="22"/>
    <filterColumn colId="23"/>
    <filterColumn colId="25"/>
    <filterColumn colId="26"/>
    <filterColumn colId="27"/>
  </autoFilter>
  <mergeCells count="3">
    <mergeCell ref="A1:S1"/>
    <mergeCell ref="A2:S2"/>
    <mergeCell ref="A3:S3"/>
  </mergeCells>
  <pageMargins left="0" right="0" top="0" bottom="0" header="0.31496062992125984" footer="0.31496062992125984"/>
  <pageSetup paperSize="9" scale="65" fitToHeight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L114"/>
  <sheetViews>
    <sheetView tabSelected="1" zoomScaleNormal="100" workbookViewId="0">
      <pane xSplit="7" ySplit="4" topLeftCell="P41" activePane="bottomRight" state="frozen"/>
      <selection pane="topRight" activeCell="H1" sqref="H1"/>
      <selection pane="bottomLeft" activeCell="A5" sqref="A5"/>
      <selection pane="bottomRight" activeCell="V64" activeCellId="2" sqref="V59 V63 V64"/>
    </sheetView>
  </sheetViews>
  <sheetFormatPr defaultColWidth="8.85546875" defaultRowHeight="15"/>
  <cols>
    <col min="1" max="1" width="21.5703125" style="189" customWidth="1"/>
    <col min="2" max="2" width="56.42578125" style="189" customWidth="1"/>
    <col min="3" max="3" width="17.85546875" style="189" hidden="1" customWidth="1"/>
    <col min="4" max="4" width="16.140625" style="189" hidden="1" customWidth="1"/>
    <col min="5" max="5" width="18.5703125" style="189" hidden="1" customWidth="1"/>
    <col min="6" max="6" width="11.7109375" style="189" hidden="1" customWidth="1"/>
    <col min="7" max="7" width="11" style="189" hidden="1" customWidth="1"/>
    <col min="8" max="10" width="14.28515625" style="189" hidden="1" customWidth="1"/>
    <col min="11" max="11" width="13.7109375" style="189" hidden="1" customWidth="1"/>
    <col min="12" max="15" width="14.85546875" style="189" hidden="1" customWidth="1"/>
    <col min="16" max="16" width="0.140625" style="189" customWidth="1"/>
    <col min="17" max="18" width="14.85546875" style="189" hidden="1" customWidth="1"/>
    <col min="19" max="19" width="15.140625" style="189" hidden="1" customWidth="1"/>
    <col min="20" max="21" width="15.140625" style="189" customWidth="1"/>
    <col min="22" max="22" width="15.42578125" style="189" customWidth="1"/>
    <col min="23" max="23" width="7.28515625" style="189" customWidth="1"/>
    <col min="24" max="24" width="14.42578125" style="189" hidden="1" customWidth="1"/>
    <col min="25" max="25" width="15.7109375" style="189" hidden="1" customWidth="1"/>
    <col min="26" max="26" width="13.28515625" style="189" hidden="1" customWidth="1"/>
    <col min="27" max="27" width="13.28515625" style="189" customWidth="1"/>
    <col min="28" max="28" width="14.7109375" style="189" hidden="1" customWidth="1"/>
    <col min="29" max="29" width="14.7109375" style="189" customWidth="1"/>
    <col min="30" max="30" width="13.7109375" style="189" hidden="1" customWidth="1"/>
    <col min="31" max="31" width="13.85546875" style="189" customWidth="1"/>
    <col min="32" max="32" width="16" style="189" customWidth="1"/>
    <col min="33" max="33" width="13.5703125" style="189" customWidth="1"/>
    <col min="34" max="34" width="15.7109375" style="189" customWidth="1"/>
    <col min="35" max="35" width="14.7109375" style="189" customWidth="1"/>
    <col min="36" max="36" width="12.7109375" style="189" customWidth="1"/>
    <col min="37" max="37" width="7.85546875" style="189" customWidth="1"/>
    <col min="38" max="38" width="11.28515625" style="189" customWidth="1"/>
    <col min="39" max="16384" width="8.85546875" style="189"/>
  </cols>
  <sheetData>
    <row r="1" spans="1:35" ht="12" customHeight="1">
      <c r="A1" s="404" t="s">
        <v>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387"/>
      <c r="U1" s="387"/>
      <c r="V1" s="387"/>
    </row>
    <row r="2" spans="1:35" ht="12" customHeight="1">
      <c r="A2" s="404" t="s">
        <v>1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387"/>
      <c r="U2" s="387"/>
      <c r="V2" s="387"/>
    </row>
    <row r="3" spans="1:35" ht="12" customHeight="1">
      <c r="A3" s="405" t="s">
        <v>222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243"/>
      <c r="U3" s="243"/>
      <c r="V3" s="388"/>
      <c r="W3" s="199" t="s">
        <v>135</v>
      </c>
      <c r="AH3" s="288" t="s">
        <v>205</v>
      </c>
    </row>
    <row r="4" spans="1:35" ht="53.25" customHeight="1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H4" s="126">
        <v>2020</v>
      </c>
      <c r="I4" s="200">
        <v>2020</v>
      </c>
      <c r="J4" s="126">
        <v>2021</v>
      </c>
      <c r="K4" s="126">
        <v>2021</v>
      </c>
      <c r="L4" s="190">
        <v>2022</v>
      </c>
      <c r="M4" s="190" t="s">
        <v>117</v>
      </c>
      <c r="N4" s="190">
        <v>2022</v>
      </c>
      <c r="O4" s="190"/>
      <c r="P4" s="190"/>
      <c r="Q4" s="242">
        <v>2023</v>
      </c>
      <c r="R4" s="191" t="s">
        <v>180</v>
      </c>
      <c r="S4" s="241">
        <v>2024</v>
      </c>
      <c r="T4" s="191">
        <v>2025</v>
      </c>
      <c r="U4" s="191">
        <v>2026</v>
      </c>
      <c r="V4" s="191">
        <v>2027</v>
      </c>
      <c r="W4" s="199"/>
      <c r="X4" s="192" t="s">
        <v>121</v>
      </c>
      <c r="Y4" s="193" t="s">
        <v>122</v>
      </c>
      <c r="Z4" s="192" t="s">
        <v>129</v>
      </c>
      <c r="AA4" s="192" t="s">
        <v>159</v>
      </c>
      <c r="AB4" s="193" t="s">
        <v>158</v>
      </c>
      <c r="AC4" s="193" t="s">
        <v>200</v>
      </c>
      <c r="AD4" s="192" t="s">
        <v>159</v>
      </c>
      <c r="AE4" s="193" t="s">
        <v>201</v>
      </c>
      <c r="AF4" s="193" t="s">
        <v>202</v>
      </c>
      <c r="AG4" s="193" t="s">
        <v>220</v>
      </c>
      <c r="AH4" s="193" t="s">
        <v>221</v>
      </c>
    </row>
    <row r="5" spans="1:35">
      <c r="A5" s="216" t="s">
        <v>57</v>
      </c>
      <c r="B5" s="407" t="s">
        <v>58</v>
      </c>
      <c r="C5" s="15">
        <f t="shared" ref="C5:K5" si="0">C6-C81</f>
        <v>860978.1</v>
      </c>
      <c r="D5" s="15">
        <f t="shared" si="0"/>
        <v>360</v>
      </c>
      <c r="E5" s="15">
        <f t="shared" si="0"/>
        <v>860978084.66999996</v>
      </c>
      <c r="F5" s="15">
        <f t="shared" si="0"/>
        <v>828462.58061999991</v>
      </c>
      <c r="G5" s="15">
        <f t="shared" si="0"/>
        <v>8.0620000002749492E-2</v>
      </c>
      <c r="H5" s="15">
        <f t="shared" si="0"/>
        <v>609278</v>
      </c>
      <c r="I5" s="15">
        <f t="shared" si="0"/>
        <v>836100</v>
      </c>
      <c r="J5" s="15">
        <f t="shared" si="0"/>
        <v>696541</v>
      </c>
      <c r="K5" s="218">
        <f t="shared" si="0"/>
        <v>545714</v>
      </c>
      <c r="L5" s="24">
        <f>L6+L81</f>
        <v>1187276261.7199998</v>
      </c>
      <c r="M5" s="24">
        <f>M6-M81</f>
        <v>1139318850.9099998</v>
      </c>
      <c r="N5" s="24">
        <f>N6-N81</f>
        <v>417935</v>
      </c>
      <c r="O5" s="24"/>
      <c r="P5" s="24"/>
      <c r="Q5" s="24">
        <f t="shared" ref="Q5:S5" si="1">Q6+Q77</f>
        <v>1255683201.6599998</v>
      </c>
      <c r="R5" s="24">
        <f t="shared" si="1"/>
        <v>982846561.78999996</v>
      </c>
      <c r="S5" s="24">
        <f t="shared" si="1"/>
        <v>1151390362.74</v>
      </c>
      <c r="T5" s="24">
        <f>T6+T77</f>
        <v>1753773429.0699999</v>
      </c>
      <c r="U5" s="24">
        <f>U6+U77</f>
        <v>1380136990.0899999</v>
      </c>
      <c r="V5" s="24">
        <f t="shared" ref="V5" si="2">V6+V77</f>
        <v>1291000593.96</v>
      </c>
      <c r="W5" s="24"/>
      <c r="X5" s="24">
        <f t="shared" ref="X5:AH5" si="3">X6+X77</f>
        <v>113174505.81</v>
      </c>
      <c r="Y5" s="24">
        <f t="shared" si="3"/>
        <v>1087173320.1000001</v>
      </c>
      <c r="Z5" s="24">
        <f t="shared" si="3"/>
        <v>137332001.74000001</v>
      </c>
      <c r="AA5" s="24">
        <f t="shared" si="3"/>
        <v>283684267.35000002</v>
      </c>
      <c r="AB5" s="24">
        <f t="shared" si="3"/>
        <v>1014058361</v>
      </c>
      <c r="AC5" s="24">
        <f t="shared" si="3"/>
        <v>1470089161.72</v>
      </c>
      <c r="AD5" s="24">
        <f t="shared" si="3"/>
        <v>91214597.890000001</v>
      </c>
      <c r="AE5" s="24">
        <f t="shared" si="3"/>
        <v>266952499.73000002</v>
      </c>
      <c r="AF5" s="24">
        <f t="shared" si="3"/>
        <v>1113184490.3599999</v>
      </c>
      <c r="AG5" s="24">
        <f t="shared" si="3"/>
        <v>211256756.90000001</v>
      </c>
      <c r="AH5" s="24">
        <f t="shared" si="3"/>
        <v>1079743837.0599999</v>
      </c>
    </row>
    <row r="6" spans="1:35" ht="24">
      <c r="A6" s="216" t="s">
        <v>22</v>
      </c>
      <c r="B6" s="217" t="s">
        <v>23</v>
      </c>
      <c r="C6" s="15">
        <f>C13+C52+C75+C7+C81</f>
        <v>864721.7</v>
      </c>
      <c r="D6" s="15">
        <f>D13+D52+D75+D7+D81</f>
        <v>360</v>
      </c>
      <c r="E6" s="15">
        <f>E13+E52+E75+E7+E81</f>
        <v>864721718.66999996</v>
      </c>
      <c r="F6" s="15">
        <f>F13+F52+F75+F7+F81</f>
        <v>832206.21461999987</v>
      </c>
      <c r="G6" s="15">
        <f>G13+G52+G75+G7+G81</f>
        <v>0.11462000000285499</v>
      </c>
      <c r="H6" s="15">
        <f>H13+H52+H75+H7+H81+H74</f>
        <v>609278</v>
      </c>
      <c r="I6" s="15">
        <f>I13+I52+I75+I7+I81+I74</f>
        <v>836100</v>
      </c>
      <c r="J6" s="15">
        <f>J13+J52+J75+J7+J81+J74</f>
        <v>696541</v>
      </c>
      <c r="K6" s="218">
        <f>K52</f>
        <v>545714</v>
      </c>
      <c r="L6" s="24">
        <f>L13+L52+L75+L7+L74+L71</f>
        <v>1187152261.7199998</v>
      </c>
      <c r="M6" s="24">
        <f>M13+M52+M75+M7+M81+M74+M71</f>
        <v>1139318850.9099998</v>
      </c>
      <c r="N6" s="24">
        <f>N13+N52+N75+N7+N81+N74+N71</f>
        <v>417935</v>
      </c>
      <c r="O6" s="24"/>
      <c r="P6" s="24"/>
      <c r="Q6" s="24">
        <f t="shared" ref="Q6:S6" si="4">Q7+Q13+Q52+Q71</f>
        <v>1200347825.9099998</v>
      </c>
      <c r="R6" s="24">
        <f t="shared" si="4"/>
        <v>982846561.78999996</v>
      </c>
      <c r="S6" s="24">
        <f t="shared" si="4"/>
        <v>1151390362.74</v>
      </c>
      <c r="T6" s="24">
        <f>T7+T13+T52+T71</f>
        <v>1753773429.0699999</v>
      </c>
      <c r="U6" s="24">
        <f>U7+U13+U52+U71</f>
        <v>1380136990.0899999</v>
      </c>
      <c r="V6" s="24">
        <f t="shared" ref="V6" si="5">V7+V13+V52+V71</f>
        <v>1291000593.96</v>
      </c>
      <c r="W6" s="24"/>
      <c r="X6" s="24">
        <f t="shared" ref="X6:AH6" si="6">X7+X13+X52+X71</f>
        <v>113174505.81</v>
      </c>
      <c r="Y6" s="24">
        <f t="shared" si="6"/>
        <v>1087173320.1000001</v>
      </c>
      <c r="Z6" s="24">
        <f t="shared" si="6"/>
        <v>137332001.74000001</v>
      </c>
      <c r="AA6" s="24">
        <f t="shared" si="6"/>
        <v>283684267.35000002</v>
      </c>
      <c r="AB6" s="24">
        <f t="shared" si="6"/>
        <v>1014058361</v>
      </c>
      <c r="AC6" s="24">
        <f t="shared" si="6"/>
        <v>1470089161.72</v>
      </c>
      <c r="AD6" s="24">
        <f t="shared" si="6"/>
        <v>91214597.890000001</v>
      </c>
      <c r="AE6" s="24">
        <f t="shared" si="6"/>
        <v>266952499.73000002</v>
      </c>
      <c r="AF6" s="24">
        <f t="shared" si="6"/>
        <v>1113184490.3599999</v>
      </c>
      <c r="AG6" s="24">
        <f t="shared" si="6"/>
        <v>211256756.90000001</v>
      </c>
      <c r="AH6" s="24">
        <f t="shared" si="6"/>
        <v>1079743837.0599999</v>
      </c>
    </row>
    <row r="7" spans="1:35">
      <c r="A7" s="216" t="s">
        <v>36</v>
      </c>
      <c r="B7" s="217" t="s">
        <v>26</v>
      </c>
      <c r="C7" s="15">
        <f>C11</f>
        <v>34649</v>
      </c>
      <c r="D7" s="15">
        <f>D11</f>
        <v>0</v>
      </c>
      <c r="E7" s="15">
        <f>E11</f>
        <v>34649000</v>
      </c>
      <c r="F7" s="15">
        <f>F11</f>
        <v>34649</v>
      </c>
      <c r="G7" s="15">
        <f>G11</f>
        <v>0</v>
      </c>
      <c r="H7" s="15">
        <f>H11+H10</f>
        <v>1186</v>
      </c>
      <c r="I7" s="15">
        <f>I11+I10</f>
        <v>1823</v>
      </c>
      <c r="J7" s="15">
        <f>J11+J10</f>
        <v>0</v>
      </c>
      <c r="K7" s="218">
        <f>K11+K10</f>
        <v>0</v>
      </c>
      <c r="L7" s="219">
        <f t="shared" ref="L7" si="7">X7+Y7</f>
        <v>28719000</v>
      </c>
      <c r="M7" s="24">
        <f>M10+M11</f>
        <v>21255000</v>
      </c>
      <c r="N7" s="24">
        <f>N10+N11</f>
        <v>0</v>
      </c>
      <c r="O7" s="24"/>
      <c r="P7" s="24"/>
      <c r="Q7" s="24">
        <f>SUM(Q9:Q12)</f>
        <v>28719000</v>
      </c>
      <c r="R7" s="24">
        <f>SUM(R9:R11)</f>
        <v>0</v>
      </c>
      <c r="S7" s="24">
        <f>SUM(S9:S11)</f>
        <v>0</v>
      </c>
      <c r="T7" s="24">
        <f>SUM(T8:T12)</f>
        <v>323290000</v>
      </c>
      <c r="U7" s="24">
        <f t="shared" ref="U7:V7" si="8">SUM(U8:U12)</f>
        <v>44826000</v>
      </c>
      <c r="V7" s="24">
        <f t="shared" si="8"/>
        <v>6723000</v>
      </c>
      <c r="W7" s="24"/>
      <c r="X7" s="24">
        <f>SUM(X9:X11)</f>
        <v>0</v>
      </c>
      <c r="Y7" s="24">
        <f>SUM(Y9:Y12)</f>
        <v>28719000</v>
      </c>
      <c r="Z7" s="24">
        <f>SUM(Z9:Z11)</f>
        <v>0</v>
      </c>
      <c r="AA7" s="24">
        <f>SUM(AA9:AA11)</f>
        <v>0</v>
      </c>
      <c r="AB7" s="24">
        <f>SUM(AB9:AB11)</f>
        <v>0</v>
      </c>
      <c r="AC7" s="24">
        <f>SUM(AC8:AC12)</f>
        <v>323290000</v>
      </c>
      <c r="AD7" s="24">
        <f t="shared" ref="AD7:AH7" si="9">SUM(AD8:AD12)</f>
        <v>0</v>
      </c>
      <c r="AE7" s="24">
        <f t="shared" si="9"/>
        <v>0</v>
      </c>
      <c r="AF7" s="24">
        <f t="shared" si="9"/>
        <v>44826000</v>
      </c>
      <c r="AG7" s="24">
        <f t="shared" si="9"/>
        <v>0</v>
      </c>
      <c r="AH7" s="24">
        <f t="shared" si="9"/>
        <v>6723000</v>
      </c>
    </row>
    <row r="8" spans="1:35" ht="25.5">
      <c r="A8" s="45" t="s">
        <v>183</v>
      </c>
      <c r="B8" s="247" t="s">
        <v>184</v>
      </c>
      <c r="C8" s="254"/>
      <c r="D8" s="254"/>
      <c r="E8" s="254"/>
      <c r="F8" s="255"/>
      <c r="G8" s="255"/>
      <c r="H8" s="254"/>
      <c r="I8" s="254"/>
      <c r="J8" s="254"/>
      <c r="K8" s="256"/>
      <c r="L8" s="257"/>
      <c r="M8" s="258"/>
      <c r="N8" s="258"/>
      <c r="O8" s="258"/>
      <c r="P8" s="258"/>
      <c r="Q8" s="258"/>
      <c r="R8" s="258"/>
      <c r="S8" s="258"/>
      <c r="T8" s="252">
        <f>AA8+AC8</f>
        <v>234282000</v>
      </c>
      <c r="U8" s="252">
        <f>AE8+AF8</f>
        <v>44826000</v>
      </c>
      <c r="V8" s="252">
        <f>AG8+AH8</f>
        <v>6723000</v>
      </c>
      <c r="W8" s="253">
        <v>903</v>
      </c>
      <c r="X8" s="24"/>
      <c r="Y8" s="24"/>
      <c r="Z8" s="24"/>
      <c r="AA8" s="24"/>
      <c r="AB8" s="24"/>
      <c r="AC8" s="25">
        <v>234282000</v>
      </c>
      <c r="AD8" s="24"/>
      <c r="AE8" s="25"/>
      <c r="AF8" s="25">
        <v>44826000</v>
      </c>
      <c r="AG8" s="25"/>
      <c r="AH8" s="25">
        <v>6723000</v>
      </c>
    </row>
    <row r="9" spans="1:35" ht="24.75" hidden="1">
      <c r="A9" s="352" t="s">
        <v>185</v>
      </c>
      <c r="B9" s="360" t="s">
        <v>186</v>
      </c>
      <c r="C9" s="358"/>
      <c r="D9" s="358"/>
      <c r="E9" s="358"/>
      <c r="F9" s="361"/>
      <c r="G9" s="361"/>
      <c r="H9" s="358"/>
      <c r="I9" s="358"/>
      <c r="J9" s="358"/>
      <c r="K9" s="362"/>
      <c r="L9" s="349"/>
      <c r="M9" s="350"/>
      <c r="N9" s="350"/>
      <c r="O9" s="350"/>
      <c r="P9" s="350"/>
      <c r="Q9" s="350">
        <f>X9+Y9</f>
        <v>912000</v>
      </c>
      <c r="R9" s="350"/>
      <c r="S9" s="350"/>
      <c r="T9" s="252">
        <f t="shared" ref="T9:T12" si="10">AA9+AC9</f>
        <v>0</v>
      </c>
      <c r="U9" s="350">
        <f>AE9+AF9</f>
        <v>0</v>
      </c>
      <c r="V9" s="350">
        <f>AG9+AH9</f>
        <v>0</v>
      </c>
      <c r="W9" s="351">
        <v>905</v>
      </c>
      <c r="X9" s="24"/>
      <c r="Y9" s="25">
        <v>912000</v>
      </c>
      <c r="Z9" s="24"/>
      <c r="AA9" s="24"/>
      <c r="AB9" s="25"/>
      <c r="AC9" s="25"/>
      <c r="AD9" s="24"/>
      <c r="AE9" s="24"/>
      <c r="AF9" s="25"/>
      <c r="AG9" s="25"/>
      <c r="AH9" s="25"/>
    </row>
    <row r="10" spans="1:35" ht="24" hidden="1">
      <c r="A10" s="386" t="s">
        <v>185</v>
      </c>
      <c r="B10" s="247" t="s">
        <v>186</v>
      </c>
      <c r="C10" s="248"/>
      <c r="D10" s="248"/>
      <c r="E10" s="248"/>
      <c r="F10" s="249"/>
      <c r="G10" s="249"/>
      <c r="H10" s="250">
        <v>1186</v>
      </c>
      <c r="I10" s="250">
        <v>1186</v>
      </c>
      <c r="J10" s="248"/>
      <c r="K10" s="251">
        <v>0</v>
      </c>
      <c r="L10" s="95">
        <f>X10+Y10</f>
        <v>3178000</v>
      </c>
      <c r="M10" s="95">
        <f>L10-K10</f>
        <v>3178000</v>
      </c>
      <c r="N10" s="252">
        <v>0</v>
      </c>
      <c r="O10" s="252"/>
      <c r="P10" s="252"/>
      <c r="Q10" s="252">
        <f>X10+Y10</f>
        <v>3178000</v>
      </c>
      <c r="R10" s="252">
        <v>0</v>
      </c>
      <c r="S10" s="252">
        <f>Z10+AB10</f>
        <v>0</v>
      </c>
      <c r="T10" s="252">
        <f t="shared" si="10"/>
        <v>0</v>
      </c>
      <c r="U10" s="252">
        <f>AE10+AF10</f>
        <v>0</v>
      </c>
      <c r="V10" s="252">
        <f>AG10+AH10</f>
        <v>0</v>
      </c>
      <c r="W10" s="253">
        <v>903</v>
      </c>
      <c r="X10" s="194"/>
      <c r="Y10" s="25">
        <f>1033000+2145000</f>
        <v>3178000</v>
      </c>
      <c r="Z10" s="194"/>
      <c r="AA10" s="24"/>
      <c r="AB10" s="25"/>
      <c r="AC10" s="25"/>
      <c r="AD10" s="194"/>
      <c r="AE10" s="24"/>
      <c r="AF10" s="25"/>
      <c r="AG10" s="25"/>
      <c r="AH10" s="25"/>
    </row>
    <row r="11" spans="1:35" ht="16.899999999999999" customHeight="1">
      <c r="A11" s="45" t="s">
        <v>148</v>
      </c>
      <c r="B11" s="389" t="s">
        <v>149</v>
      </c>
      <c r="C11" s="248">
        <f>9649+25000</f>
        <v>34649</v>
      </c>
      <c r="D11" s="248"/>
      <c r="E11" s="252">
        <f>9649000+25000000</f>
        <v>34649000</v>
      </c>
      <c r="F11" s="96">
        <f>E11/1000</f>
        <v>34649</v>
      </c>
      <c r="G11" s="96">
        <f>F11-C11</f>
        <v>0</v>
      </c>
      <c r="H11" s="250"/>
      <c r="I11" s="250">
        <v>637</v>
      </c>
      <c r="J11" s="250">
        <v>0</v>
      </c>
      <c r="K11" s="390">
        <v>0</v>
      </c>
      <c r="L11" s="95">
        <f>X11+Y11</f>
        <v>18077000</v>
      </c>
      <c r="M11" s="95">
        <f>L11-K11</f>
        <v>18077000</v>
      </c>
      <c r="N11" s="95">
        <v>0</v>
      </c>
      <c r="O11" s="95"/>
      <c r="P11" s="95"/>
      <c r="Q11" s="252">
        <f>X11+Y11</f>
        <v>18077000</v>
      </c>
      <c r="R11" s="95">
        <v>0</v>
      </c>
      <c r="S11" s="252">
        <f>Z11+AB11</f>
        <v>0</v>
      </c>
      <c r="T11" s="252">
        <f t="shared" si="10"/>
        <v>77119000</v>
      </c>
      <c r="U11" s="252">
        <f>AE11+AF11</f>
        <v>0</v>
      </c>
      <c r="V11" s="252">
        <f>AG11+AH11</f>
        <v>0</v>
      </c>
      <c r="W11" s="253">
        <v>903</v>
      </c>
      <c r="X11" s="194"/>
      <c r="Y11" s="208">
        <v>18077000</v>
      </c>
      <c r="Z11" s="194"/>
      <c r="AA11" s="24"/>
      <c r="AB11" s="195"/>
      <c r="AC11" s="195">
        <f>89008000-AC12</f>
        <v>77119000</v>
      </c>
      <c r="AD11" s="194"/>
      <c r="AE11" s="24"/>
      <c r="AF11" s="195"/>
      <c r="AG11" s="195"/>
      <c r="AH11" s="195"/>
    </row>
    <row r="12" spans="1:35" ht="16.899999999999999" customHeight="1">
      <c r="A12" s="322" t="s">
        <v>148</v>
      </c>
      <c r="B12" s="323" t="s">
        <v>149</v>
      </c>
      <c r="C12" s="324"/>
      <c r="D12" s="324"/>
      <c r="E12" s="325"/>
      <c r="F12" s="326"/>
      <c r="G12" s="326"/>
      <c r="H12" s="327"/>
      <c r="I12" s="327"/>
      <c r="J12" s="327"/>
      <c r="K12" s="328"/>
      <c r="L12" s="329"/>
      <c r="M12" s="329"/>
      <c r="N12" s="329"/>
      <c r="O12" s="329"/>
      <c r="P12" s="329"/>
      <c r="Q12" s="325">
        <f>X12+Y12</f>
        <v>6552000</v>
      </c>
      <c r="R12" s="329"/>
      <c r="S12" s="325"/>
      <c r="T12" s="393">
        <f t="shared" si="10"/>
        <v>11889000</v>
      </c>
      <c r="U12" s="325">
        <f>AE12+AF12</f>
        <v>0</v>
      </c>
      <c r="V12" s="325">
        <f>AG12+AH12</f>
        <v>0</v>
      </c>
      <c r="W12" s="330">
        <v>907</v>
      </c>
      <c r="X12" s="194"/>
      <c r="Y12" s="208">
        <v>6552000</v>
      </c>
      <c r="Z12" s="194"/>
      <c r="AA12" s="24"/>
      <c r="AB12" s="195"/>
      <c r="AC12" s="195">
        <v>11889000</v>
      </c>
      <c r="AD12" s="194"/>
      <c r="AE12" s="24"/>
      <c r="AF12" s="195"/>
      <c r="AG12" s="195"/>
      <c r="AH12" s="195"/>
    </row>
    <row r="13" spans="1:35" ht="15.6" customHeight="1">
      <c r="A13" s="216" t="s">
        <v>37</v>
      </c>
      <c r="B13" s="217" t="s">
        <v>25</v>
      </c>
      <c r="C13" s="15">
        <f t="shared" ref="C13:J13" si="11">SUM(C14:C31)</f>
        <v>99365.099999999991</v>
      </c>
      <c r="D13" s="15">
        <f t="shared" si="11"/>
        <v>0</v>
      </c>
      <c r="E13" s="15">
        <f t="shared" si="11"/>
        <v>99365090.670000002</v>
      </c>
      <c r="F13" s="15">
        <f t="shared" si="11"/>
        <v>66849.586620000002</v>
      </c>
      <c r="G13" s="15">
        <f t="shared" si="11"/>
        <v>8.6620000003062358E-2</v>
      </c>
      <c r="H13" s="15">
        <f t="shared" si="11"/>
        <v>0</v>
      </c>
      <c r="I13" s="15">
        <f t="shared" si="11"/>
        <v>59336</v>
      </c>
      <c r="J13" s="15">
        <f t="shared" si="11"/>
        <v>0</v>
      </c>
      <c r="K13" s="218">
        <v>0</v>
      </c>
      <c r="L13" s="24">
        <f>SUM(L14:L31)</f>
        <v>148264346.09999999</v>
      </c>
      <c r="M13" s="24">
        <f>SUM(M14:M31)</f>
        <v>148254346.09999999</v>
      </c>
      <c r="N13" s="24">
        <f>SUM(N14:N31)</f>
        <v>2</v>
      </c>
      <c r="O13" s="24"/>
      <c r="P13" s="24"/>
      <c r="Q13" s="24">
        <f t="shared" ref="Q13:V13" si="12">SUM(Q14:Q31)</f>
        <v>160804507.09999999</v>
      </c>
      <c r="R13" s="24">
        <f t="shared" si="12"/>
        <v>91677161.789999992</v>
      </c>
      <c r="S13" s="24">
        <f t="shared" si="12"/>
        <v>147892361.74000001</v>
      </c>
      <c r="T13" s="24">
        <f t="shared" si="12"/>
        <v>308067269.06999999</v>
      </c>
      <c r="U13" s="24">
        <f t="shared" si="12"/>
        <v>217852538.08999997</v>
      </c>
      <c r="V13" s="24">
        <f t="shared" si="12"/>
        <v>165459141.96000001</v>
      </c>
      <c r="W13" s="24"/>
      <c r="X13" s="24">
        <f t="shared" ref="X13:AH13" si="13">SUM(X14:X31)</f>
        <v>70005813.969999999</v>
      </c>
      <c r="Y13" s="24">
        <f t="shared" si="13"/>
        <v>90798693.129999995</v>
      </c>
      <c r="Z13" s="24">
        <f t="shared" si="13"/>
        <v>84122000.739999995</v>
      </c>
      <c r="AA13" s="24">
        <f t="shared" si="13"/>
        <v>202900107.34999999</v>
      </c>
      <c r="AB13" s="24">
        <f t="shared" si="13"/>
        <v>63770361</v>
      </c>
      <c r="AC13" s="24">
        <f t="shared" si="13"/>
        <v>105167161.71999998</v>
      </c>
      <c r="AD13" s="24">
        <f t="shared" si="13"/>
        <v>37327783.890000001</v>
      </c>
      <c r="AE13" s="24">
        <f t="shared" si="13"/>
        <v>185986047.73000002</v>
      </c>
      <c r="AF13" s="24">
        <f t="shared" si="13"/>
        <v>31866490.359999996</v>
      </c>
      <c r="AG13" s="24">
        <f t="shared" si="13"/>
        <v>130687304.90000001</v>
      </c>
      <c r="AH13" s="24">
        <f t="shared" si="13"/>
        <v>34771837.060000002</v>
      </c>
    </row>
    <row r="14" spans="1:35" ht="34.5" customHeight="1">
      <c r="A14" s="343" t="s">
        <v>66</v>
      </c>
      <c r="B14" s="353" t="s">
        <v>154</v>
      </c>
      <c r="C14" s="358">
        <v>29411</v>
      </c>
      <c r="D14" s="358"/>
      <c r="E14" s="350">
        <v>29411000</v>
      </c>
      <c r="F14" s="356">
        <f>E14/1000</f>
        <v>29411</v>
      </c>
      <c r="G14" s="356">
        <f>F14-C14</f>
        <v>0</v>
      </c>
      <c r="H14" s="348"/>
      <c r="I14" s="348">
        <v>23860</v>
      </c>
      <c r="J14" s="348"/>
      <c r="K14" s="357">
        <v>0</v>
      </c>
      <c r="L14" s="349">
        <f t="shared" ref="L14:L19" si="14">X14+Y14</f>
        <v>40500000</v>
      </c>
      <c r="M14" s="349">
        <f t="shared" ref="M14:M19" si="15">L14-K14</f>
        <v>40500000</v>
      </c>
      <c r="N14" s="349">
        <v>0</v>
      </c>
      <c r="O14" s="349"/>
      <c r="P14" s="349"/>
      <c r="Q14" s="350">
        <f t="shared" ref="Q14:Q19" si="16">X14+Y14</f>
        <v>40500000</v>
      </c>
      <c r="R14" s="349">
        <v>30000000</v>
      </c>
      <c r="S14" s="350">
        <f t="shared" ref="S14:T19" si="17">Z14+AB14</f>
        <v>30000000</v>
      </c>
      <c r="T14" s="350">
        <f t="shared" si="17"/>
        <v>48000000</v>
      </c>
      <c r="U14" s="350">
        <f t="shared" ref="U14:U30" si="18">AE14+AF14</f>
        <v>0</v>
      </c>
      <c r="V14" s="350">
        <f t="shared" ref="V14:V30" si="19">AG14+AH14</f>
        <v>0</v>
      </c>
      <c r="W14" s="351">
        <v>905</v>
      </c>
      <c r="X14" s="194"/>
      <c r="Y14" s="195">
        <f>30000000+4500000+6000000</f>
        <v>40500000</v>
      </c>
      <c r="Z14" s="194"/>
      <c r="AA14" s="194"/>
      <c r="AB14" s="195">
        <v>30000000</v>
      </c>
      <c r="AC14" s="195">
        <v>48000000</v>
      </c>
      <c r="AD14" s="194"/>
      <c r="AE14" s="194"/>
      <c r="AF14" s="195"/>
      <c r="AG14" s="195"/>
      <c r="AH14" s="195"/>
      <c r="AI14" s="116"/>
    </row>
    <row r="15" spans="1:35" ht="27" customHeight="1">
      <c r="A15" s="322" t="s">
        <v>212</v>
      </c>
      <c r="B15" s="323" t="s">
        <v>213</v>
      </c>
      <c r="C15" s="324"/>
      <c r="D15" s="324"/>
      <c r="E15" s="325"/>
      <c r="F15" s="326"/>
      <c r="G15" s="326"/>
      <c r="H15" s="327"/>
      <c r="I15" s="327">
        <v>0</v>
      </c>
      <c r="J15" s="327"/>
      <c r="K15" s="328">
        <v>0</v>
      </c>
      <c r="L15" s="329">
        <f t="shared" si="14"/>
        <v>11250000</v>
      </c>
      <c r="M15" s="329">
        <f t="shared" si="15"/>
        <v>11250000</v>
      </c>
      <c r="N15" s="329">
        <v>0</v>
      </c>
      <c r="O15" s="329"/>
      <c r="P15" s="329"/>
      <c r="Q15" s="325">
        <f t="shared" si="16"/>
        <v>11250000</v>
      </c>
      <c r="R15" s="329">
        <v>1471000</v>
      </c>
      <c r="S15" s="325">
        <f t="shared" si="17"/>
        <v>0</v>
      </c>
      <c r="T15" s="325">
        <f t="shared" si="17"/>
        <v>0</v>
      </c>
      <c r="U15" s="325">
        <f t="shared" si="18"/>
        <v>15118384</v>
      </c>
      <c r="V15" s="325">
        <f t="shared" si="19"/>
        <v>0</v>
      </c>
      <c r="W15" s="330">
        <v>907</v>
      </c>
      <c r="X15" s="194"/>
      <c r="Y15" s="195">
        <v>11250000</v>
      </c>
      <c r="Z15" s="194"/>
      <c r="AA15" s="194"/>
      <c r="AB15" s="195"/>
      <c r="AC15" s="195"/>
      <c r="AD15" s="194"/>
      <c r="AE15" s="194">
        <v>14967200</v>
      </c>
      <c r="AF15" s="195">
        <v>151184</v>
      </c>
      <c r="AG15" s="195"/>
      <c r="AH15" s="195"/>
      <c r="AI15" s="116"/>
    </row>
    <row r="16" spans="1:35" ht="34.5" customHeight="1">
      <c r="A16" s="290" t="s">
        <v>224</v>
      </c>
      <c r="B16" s="299" t="s">
        <v>223</v>
      </c>
      <c r="C16" s="292">
        <v>30453.9</v>
      </c>
      <c r="D16" s="292"/>
      <c r="E16" s="293">
        <v>30453878.91</v>
      </c>
      <c r="F16" s="294"/>
      <c r="G16" s="294"/>
      <c r="H16" s="295"/>
      <c r="I16" s="295"/>
      <c r="J16" s="295"/>
      <c r="K16" s="296"/>
      <c r="L16" s="297">
        <f t="shared" si="14"/>
        <v>562510.79999999993</v>
      </c>
      <c r="M16" s="297">
        <f t="shared" si="15"/>
        <v>562510.79999999993</v>
      </c>
      <c r="N16" s="297">
        <v>0</v>
      </c>
      <c r="O16" s="297"/>
      <c r="P16" s="297"/>
      <c r="Q16" s="293">
        <f t="shared" si="16"/>
        <v>562510.79999999993</v>
      </c>
      <c r="R16" s="297">
        <v>0</v>
      </c>
      <c r="S16" s="293">
        <f t="shared" si="17"/>
        <v>0</v>
      </c>
      <c r="T16" s="293">
        <f t="shared" si="17"/>
        <v>1798156.57</v>
      </c>
      <c r="U16" s="293">
        <f t="shared" si="18"/>
        <v>0</v>
      </c>
      <c r="V16" s="293">
        <f t="shared" si="19"/>
        <v>0</v>
      </c>
      <c r="W16" s="298">
        <v>906</v>
      </c>
      <c r="X16" s="194">
        <v>556885.68999999994</v>
      </c>
      <c r="Y16" s="195">
        <v>5625.11</v>
      </c>
      <c r="Z16" s="194"/>
      <c r="AA16" s="195">
        <v>1780175</v>
      </c>
      <c r="AB16" s="195"/>
      <c r="AC16" s="195">
        <v>17981.57</v>
      </c>
      <c r="AD16" s="194"/>
      <c r="AE16" s="194"/>
      <c r="AF16" s="195"/>
      <c r="AG16" s="195"/>
      <c r="AH16" s="195"/>
      <c r="AI16" s="116"/>
    </row>
    <row r="17" spans="1:35" ht="54.75" hidden="1" customHeight="1">
      <c r="A17" s="290" t="s">
        <v>162</v>
      </c>
      <c r="B17" s="291" t="s">
        <v>189</v>
      </c>
      <c r="C17" s="292">
        <v>212.2</v>
      </c>
      <c r="D17" s="292"/>
      <c r="E17" s="293">
        <v>212168.14</v>
      </c>
      <c r="F17" s="294"/>
      <c r="G17" s="294"/>
      <c r="H17" s="295"/>
      <c r="I17" s="295"/>
      <c r="J17" s="295"/>
      <c r="K17" s="296"/>
      <c r="L17" s="297">
        <f t="shared" si="14"/>
        <v>0</v>
      </c>
      <c r="M17" s="297">
        <f t="shared" si="15"/>
        <v>0</v>
      </c>
      <c r="N17" s="297">
        <v>0</v>
      </c>
      <c r="O17" s="297"/>
      <c r="P17" s="297"/>
      <c r="Q17" s="293">
        <f t="shared" si="16"/>
        <v>0</v>
      </c>
      <c r="R17" s="297">
        <v>0</v>
      </c>
      <c r="S17" s="293">
        <f t="shared" si="17"/>
        <v>6718860</v>
      </c>
      <c r="T17" s="293">
        <f t="shared" si="17"/>
        <v>0</v>
      </c>
      <c r="U17" s="293">
        <f t="shared" si="18"/>
        <v>0</v>
      </c>
      <c r="V17" s="293">
        <f t="shared" si="19"/>
        <v>0</v>
      </c>
      <c r="W17" s="298">
        <v>906</v>
      </c>
      <c r="X17" s="194"/>
      <c r="Y17" s="195"/>
      <c r="Z17" s="194">
        <v>6718860</v>
      </c>
      <c r="AA17" s="194"/>
      <c r="AB17" s="195"/>
      <c r="AC17" s="195"/>
      <c r="AD17" s="194"/>
      <c r="AE17" s="194"/>
      <c r="AF17" s="195"/>
      <c r="AG17" s="195"/>
      <c r="AH17" s="195"/>
      <c r="AI17" s="116"/>
    </row>
    <row r="18" spans="1:35" ht="48.75" customHeight="1">
      <c r="A18" s="343" t="s">
        <v>218</v>
      </c>
      <c r="B18" s="391" t="s">
        <v>219</v>
      </c>
      <c r="C18" s="350"/>
      <c r="D18" s="350"/>
      <c r="E18" s="350"/>
      <c r="F18" s="356"/>
      <c r="G18" s="356"/>
      <c r="H18" s="348"/>
      <c r="I18" s="348">
        <v>0</v>
      </c>
      <c r="J18" s="348"/>
      <c r="K18" s="357">
        <v>0</v>
      </c>
      <c r="L18" s="349">
        <f t="shared" si="14"/>
        <v>0</v>
      </c>
      <c r="M18" s="349">
        <f t="shared" si="15"/>
        <v>0</v>
      </c>
      <c r="N18" s="349">
        <v>0</v>
      </c>
      <c r="O18" s="349"/>
      <c r="P18" s="349"/>
      <c r="Q18" s="350">
        <f t="shared" si="16"/>
        <v>0</v>
      </c>
      <c r="R18" s="349">
        <v>0</v>
      </c>
      <c r="S18" s="350">
        <f t="shared" si="17"/>
        <v>0</v>
      </c>
      <c r="T18" s="350">
        <f t="shared" si="17"/>
        <v>91146769</v>
      </c>
      <c r="U18" s="350">
        <f t="shared" si="18"/>
        <v>0</v>
      </c>
      <c r="V18" s="350">
        <f t="shared" si="19"/>
        <v>0</v>
      </c>
      <c r="W18" s="351">
        <v>905</v>
      </c>
      <c r="X18" s="194"/>
      <c r="Y18" s="195"/>
      <c r="Z18" s="194"/>
      <c r="AA18" s="194">
        <v>90235300</v>
      </c>
      <c r="AB18" s="195"/>
      <c r="AC18" s="195">
        <v>911469</v>
      </c>
      <c r="AD18" s="194"/>
      <c r="AE18" s="194"/>
      <c r="AF18" s="195"/>
      <c r="AG18" s="195"/>
      <c r="AH18" s="195"/>
      <c r="AI18" s="116"/>
    </row>
    <row r="19" spans="1:35" ht="26.25" customHeight="1">
      <c r="A19" s="343" t="s">
        <v>174</v>
      </c>
      <c r="B19" s="354" t="s">
        <v>164</v>
      </c>
      <c r="C19" s="358"/>
      <c r="D19" s="358"/>
      <c r="E19" s="350"/>
      <c r="F19" s="356"/>
      <c r="G19" s="356"/>
      <c r="H19" s="348"/>
      <c r="I19" s="348">
        <v>0</v>
      </c>
      <c r="J19" s="348"/>
      <c r="K19" s="357">
        <v>0</v>
      </c>
      <c r="L19" s="349">
        <f t="shared" si="14"/>
        <v>403600</v>
      </c>
      <c r="M19" s="349">
        <f t="shared" si="15"/>
        <v>403600</v>
      </c>
      <c r="N19" s="349">
        <v>0</v>
      </c>
      <c r="O19" s="349"/>
      <c r="P19" s="349"/>
      <c r="Q19" s="350">
        <f t="shared" si="16"/>
        <v>403600</v>
      </c>
      <c r="R19" s="349">
        <v>437200</v>
      </c>
      <c r="S19" s="350">
        <f t="shared" si="17"/>
        <v>0</v>
      </c>
      <c r="T19" s="350">
        <f t="shared" si="17"/>
        <v>0</v>
      </c>
      <c r="U19" s="350">
        <f t="shared" si="18"/>
        <v>0</v>
      </c>
      <c r="V19" s="350">
        <f t="shared" si="19"/>
        <v>285900</v>
      </c>
      <c r="W19" s="351">
        <v>905</v>
      </c>
      <c r="X19" s="194">
        <v>399542.52</v>
      </c>
      <c r="Y19" s="195">
        <v>4057.48</v>
      </c>
      <c r="Z19" s="194"/>
      <c r="AA19" s="194"/>
      <c r="AB19" s="195"/>
      <c r="AC19" s="195"/>
      <c r="AD19" s="194"/>
      <c r="AE19" s="194"/>
      <c r="AF19" s="195"/>
      <c r="AG19" s="195">
        <v>283000</v>
      </c>
      <c r="AH19" s="195">
        <v>2900</v>
      </c>
      <c r="AI19" s="116"/>
    </row>
    <row r="20" spans="1:35" ht="26.25" customHeight="1">
      <c r="A20" s="322" t="s">
        <v>174</v>
      </c>
      <c r="B20" s="331" t="s">
        <v>164</v>
      </c>
      <c r="C20" s="324"/>
      <c r="D20" s="324"/>
      <c r="E20" s="325"/>
      <c r="F20" s="326"/>
      <c r="G20" s="326"/>
      <c r="H20" s="327"/>
      <c r="I20" s="327"/>
      <c r="J20" s="327"/>
      <c r="K20" s="328"/>
      <c r="L20" s="329"/>
      <c r="M20" s="329"/>
      <c r="N20" s="329"/>
      <c r="O20" s="329"/>
      <c r="P20" s="329"/>
      <c r="Q20" s="325"/>
      <c r="R20" s="329"/>
      <c r="S20" s="325"/>
      <c r="T20" s="325">
        <f t="shared" ref="T20:T30" si="20">AA20+AC20</f>
        <v>0</v>
      </c>
      <c r="U20" s="325">
        <f t="shared" si="18"/>
        <v>0</v>
      </c>
      <c r="V20" s="325">
        <f t="shared" si="19"/>
        <v>19296200</v>
      </c>
      <c r="W20" s="330">
        <v>907</v>
      </c>
      <c r="X20" s="194"/>
      <c r="Y20" s="195"/>
      <c r="Z20" s="194"/>
      <c r="AA20" s="194"/>
      <c r="AB20" s="195"/>
      <c r="AC20" s="195"/>
      <c r="AD20" s="194"/>
      <c r="AE20" s="194"/>
      <c r="AF20" s="195"/>
      <c r="AG20" s="195">
        <f>8822700+10280600</f>
        <v>19103300</v>
      </c>
      <c r="AH20" s="195">
        <f>89100+103800</f>
        <v>192900</v>
      </c>
      <c r="AI20" s="116"/>
    </row>
    <row r="21" spans="1:35" ht="39" customHeight="1">
      <c r="A21" s="343" t="s">
        <v>216</v>
      </c>
      <c r="B21" s="344" t="s">
        <v>217</v>
      </c>
      <c r="C21" s="358"/>
      <c r="D21" s="358"/>
      <c r="E21" s="350"/>
      <c r="F21" s="356"/>
      <c r="G21" s="356"/>
      <c r="H21" s="348"/>
      <c r="I21" s="348"/>
      <c r="J21" s="348"/>
      <c r="K21" s="357"/>
      <c r="L21" s="349">
        <f>X21+Y21</f>
        <v>0</v>
      </c>
      <c r="M21" s="349">
        <f>L21-K21</f>
        <v>0</v>
      </c>
      <c r="N21" s="349">
        <v>1</v>
      </c>
      <c r="O21" s="349"/>
      <c r="P21" s="349"/>
      <c r="Q21" s="350">
        <f>X21+Y21</f>
        <v>0</v>
      </c>
      <c r="R21" s="349">
        <v>0</v>
      </c>
      <c r="S21" s="350">
        <f>Z21+AB21</f>
        <v>0</v>
      </c>
      <c r="T21" s="350">
        <f t="shared" si="20"/>
        <v>70155640</v>
      </c>
      <c r="U21" s="350">
        <f t="shared" si="18"/>
        <v>74750800</v>
      </c>
      <c r="V21" s="350">
        <f t="shared" si="19"/>
        <v>89823830</v>
      </c>
      <c r="W21" s="351">
        <v>905</v>
      </c>
      <c r="X21" s="194"/>
      <c r="Y21" s="195"/>
      <c r="Z21" s="194"/>
      <c r="AA21" s="194">
        <v>46723640</v>
      </c>
      <c r="AB21" s="195"/>
      <c r="AC21" s="195">
        <v>23432000</v>
      </c>
      <c r="AD21" s="194"/>
      <c r="AE21" s="194">
        <v>49783950</v>
      </c>
      <c r="AF21" s="195">
        <v>24966850</v>
      </c>
      <c r="AG21" s="195">
        <v>59218380</v>
      </c>
      <c r="AH21" s="195">
        <v>30605450</v>
      </c>
      <c r="AI21" s="116"/>
    </row>
    <row r="22" spans="1:35" ht="63" hidden="1" customHeight="1">
      <c r="A22" s="290" t="s">
        <v>169</v>
      </c>
      <c r="B22" s="299" t="s">
        <v>188</v>
      </c>
      <c r="C22" s="292"/>
      <c r="D22" s="292"/>
      <c r="E22" s="293"/>
      <c r="F22" s="294"/>
      <c r="G22" s="294"/>
      <c r="H22" s="295"/>
      <c r="I22" s="295"/>
      <c r="J22" s="295"/>
      <c r="K22" s="296"/>
      <c r="L22" s="297"/>
      <c r="M22" s="297"/>
      <c r="N22" s="297"/>
      <c r="O22" s="297"/>
      <c r="P22" s="297"/>
      <c r="Q22" s="293">
        <f>X22+Y22</f>
        <v>0</v>
      </c>
      <c r="R22" s="297">
        <v>1</v>
      </c>
      <c r="S22" s="293">
        <f>Z22+AB22</f>
        <v>19690043.41</v>
      </c>
      <c r="T22" s="293">
        <f t="shared" si="20"/>
        <v>0</v>
      </c>
      <c r="U22" s="293">
        <f t="shared" si="18"/>
        <v>0</v>
      </c>
      <c r="V22" s="293">
        <f t="shared" si="19"/>
        <v>0</v>
      </c>
      <c r="W22" s="298">
        <v>906</v>
      </c>
      <c r="X22" s="194"/>
      <c r="Y22" s="195"/>
      <c r="Z22" s="194">
        <v>19690043.41</v>
      </c>
      <c r="AA22" s="244"/>
      <c r="AB22" s="66"/>
      <c r="AC22" s="66"/>
      <c r="AD22" s="194"/>
      <c r="AE22" s="194"/>
      <c r="AF22" s="195"/>
      <c r="AG22" s="195"/>
      <c r="AH22" s="195"/>
      <c r="AI22" s="116"/>
    </row>
    <row r="23" spans="1:35" ht="50.25" hidden="1" customHeight="1">
      <c r="A23" s="290" t="s">
        <v>190</v>
      </c>
      <c r="B23" s="299" t="s">
        <v>191</v>
      </c>
      <c r="C23" s="292"/>
      <c r="D23" s="292"/>
      <c r="E23" s="293"/>
      <c r="F23" s="294"/>
      <c r="G23" s="294"/>
      <c r="H23" s="295"/>
      <c r="I23" s="295"/>
      <c r="J23" s="295"/>
      <c r="K23" s="296"/>
      <c r="L23" s="297"/>
      <c r="M23" s="297"/>
      <c r="N23" s="297"/>
      <c r="O23" s="297"/>
      <c r="P23" s="297"/>
      <c r="Q23" s="293"/>
      <c r="R23" s="297"/>
      <c r="S23" s="293"/>
      <c r="T23" s="293">
        <f t="shared" si="20"/>
        <v>0</v>
      </c>
      <c r="U23" s="293">
        <f t="shared" si="18"/>
        <v>0</v>
      </c>
      <c r="V23" s="293">
        <f t="shared" si="19"/>
        <v>0</v>
      </c>
      <c r="W23" s="298">
        <v>906</v>
      </c>
      <c r="X23" s="194"/>
      <c r="Y23" s="195"/>
      <c r="Z23" s="194"/>
      <c r="AA23" s="194"/>
      <c r="AB23" s="195"/>
      <c r="AC23" s="195"/>
      <c r="AD23" s="194"/>
      <c r="AE23" s="194"/>
      <c r="AF23" s="195"/>
      <c r="AG23" s="195"/>
      <c r="AH23" s="195"/>
      <c r="AI23" s="116"/>
    </row>
    <row r="24" spans="1:35" ht="39" customHeight="1">
      <c r="A24" s="290" t="s">
        <v>112</v>
      </c>
      <c r="B24" s="299" t="s">
        <v>113</v>
      </c>
      <c r="C24" s="292"/>
      <c r="D24" s="292"/>
      <c r="E24" s="293"/>
      <c r="F24" s="294"/>
      <c r="G24" s="294"/>
      <c r="H24" s="295"/>
      <c r="I24" s="295"/>
      <c r="J24" s="295"/>
      <c r="K24" s="296">
        <v>0</v>
      </c>
      <c r="L24" s="297">
        <f>X24+Y24</f>
        <v>41702031.109999999</v>
      </c>
      <c r="M24" s="297">
        <f>L24-K24</f>
        <v>41702031.109999999</v>
      </c>
      <c r="N24" s="297">
        <v>1</v>
      </c>
      <c r="O24" s="297"/>
      <c r="P24" s="297"/>
      <c r="Q24" s="293">
        <f t="shared" ref="Q24:Q30" si="21">X24+Y24</f>
        <v>41702031.109999999</v>
      </c>
      <c r="R24" s="297">
        <v>36323037</v>
      </c>
      <c r="S24" s="293">
        <f t="shared" ref="S24:S30" si="22">Z24+AB24</f>
        <v>41702042.219999999</v>
      </c>
      <c r="T24" s="293">
        <f t="shared" si="20"/>
        <v>42258298.990000002</v>
      </c>
      <c r="U24" s="293">
        <f t="shared" si="18"/>
        <v>36975922.219999999</v>
      </c>
      <c r="V24" s="293">
        <f t="shared" si="19"/>
        <v>34945500</v>
      </c>
      <c r="W24" s="298">
        <v>906</v>
      </c>
      <c r="X24" s="194">
        <v>37531828</v>
      </c>
      <c r="Y24" s="195">
        <v>4170203.11</v>
      </c>
      <c r="Z24" s="194">
        <v>37531838</v>
      </c>
      <c r="AA24" s="194">
        <v>41835716</v>
      </c>
      <c r="AB24" s="195">
        <v>4170204.22</v>
      </c>
      <c r="AC24" s="195">
        <v>422582.99</v>
      </c>
      <c r="AD24" s="194">
        <v>35131605</v>
      </c>
      <c r="AE24" s="194">
        <v>36606163</v>
      </c>
      <c r="AF24" s="195">
        <v>369759.22</v>
      </c>
      <c r="AG24" s="195">
        <v>34596045</v>
      </c>
      <c r="AH24" s="195">
        <v>349455</v>
      </c>
      <c r="AI24" s="116"/>
    </row>
    <row r="25" spans="1:35" ht="39" hidden="1" customHeight="1">
      <c r="A25" s="343" t="s">
        <v>150</v>
      </c>
      <c r="B25" s="354" t="s">
        <v>151</v>
      </c>
      <c r="C25" s="358"/>
      <c r="D25" s="358"/>
      <c r="E25" s="350"/>
      <c r="F25" s="356"/>
      <c r="G25" s="356"/>
      <c r="H25" s="348"/>
      <c r="I25" s="348"/>
      <c r="J25" s="348"/>
      <c r="K25" s="357"/>
      <c r="L25" s="349"/>
      <c r="M25" s="349"/>
      <c r="N25" s="349"/>
      <c r="O25" s="349"/>
      <c r="P25" s="349"/>
      <c r="Q25" s="350">
        <f t="shared" si="21"/>
        <v>0</v>
      </c>
      <c r="R25" s="349"/>
      <c r="S25" s="350">
        <f t="shared" si="22"/>
        <v>0</v>
      </c>
      <c r="T25" s="350">
        <f t="shared" si="20"/>
        <v>0</v>
      </c>
      <c r="U25" s="350">
        <f t="shared" si="18"/>
        <v>0</v>
      </c>
      <c r="V25" s="350">
        <f t="shared" si="19"/>
        <v>0</v>
      </c>
      <c r="W25" s="351">
        <v>905</v>
      </c>
      <c r="X25" s="194"/>
      <c r="Y25" s="195"/>
      <c r="Z25" s="194"/>
      <c r="AA25" s="194"/>
      <c r="AB25" s="195"/>
      <c r="AC25" s="195"/>
      <c r="AD25" s="194"/>
      <c r="AE25" s="194"/>
      <c r="AF25" s="195"/>
      <c r="AG25" s="195"/>
      <c r="AH25" s="195"/>
      <c r="AI25" s="116"/>
    </row>
    <row r="26" spans="1:35" ht="27.75" customHeight="1">
      <c r="A26" s="261" t="s">
        <v>41</v>
      </c>
      <c r="B26" s="262" t="s">
        <v>192</v>
      </c>
      <c r="C26" s="81">
        <v>1770.5</v>
      </c>
      <c r="D26" s="81"/>
      <c r="E26" s="81">
        <v>1770457</v>
      </c>
      <c r="F26" s="82"/>
      <c r="G26" s="82"/>
      <c r="H26" s="263"/>
      <c r="I26" s="263">
        <v>2906</v>
      </c>
      <c r="J26" s="263"/>
      <c r="K26" s="264">
        <v>0</v>
      </c>
      <c r="L26" s="83">
        <f>X26+Y26</f>
        <v>3629290.9</v>
      </c>
      <c r="M26" s="83">
        <f t="shared" ref="M26:M34" si="23">L26-K26</f>
        <v>3629290.9</v>
      </c>
      <c r="N26" s="83">
        <v>0</v>
      </c>
      <c r="O26" s="83"/>
      <c r="P26" s="83"/>
      <c r="Q26" s="81">
        <f t="shared" si="21"/>
        <v>3629290.9</v>
      </c>
      <c r="R26" s="83">
        <v>1380921.05</v>
      </c>
      <c r="S26" s="81">
        <f t="shared" si="22"/>
        <v>2038304.8399999999</v>
      </c>
      <c r="T26" s="81">
        <f t="shared" si="20"/>
        <v>4593726.3999999994</v>
      </c>
      <c r="U26" s="81">
        <f t="shared" si="18"/>
        <v>1806363.42</v>
      </c>
      <c r="V26" s="81">
        <f t="shared" si="19"/>
        <v>2055127.93</v>
      </c>
      <c r="W26" s="265">
        <v>902</v>
      </c>
      <c r="X26" s="194">
        <v>3266316.61</v>
      </c>
      <c r="Y26" s="195">
        <v>362974.29</v>
      </c>
      <c r="Z26" s="194">
        <v>1834458.69</v>
      </c>
      <c r="AA26" s="194">
        <v>4547789.13</v>
      </c>
      <c r="AB26" s="195">
        <v>203846.15</v>
      </c>
      <c r="AC26" s="195">
        <v>45937.27</v>
      </c>
      <c r="AD26" s="194">
        <v>2134115.89</v>
      </c>
      <c r="AE26" s="194">
        <v>1788299.79</v>
      </c>
      <c r="AF26" s="195">
        <v>18063.63</v>
      </c>
      <c r="AG26" s="195">
        <v>2034576.65</v>
      </c>
      <c r="AH26" s="195">
        <v>20551.28</v>
      </c>
      <c r="AI26" s="116"/>
    </row>
    <row r="27" spans="1:35">
      <c r="A27" s="332" t="s">
        <v>38</v>
      </c>
      <c r="B27" s="323" t="s">
        <v>131</v>
      </c>
      <c r="C27" s="324">
        <v>19.2</v>
      </c>
      <c r="D27" s="324"/>
      <c r="E27" s="325">
        <v>19200</v>
      </c>
      <c r="F27" s="326">
        <f>E27/1000</f>
        <v>19.2</v>
      </c>
      <c r="G27" s="326">
        <f>F27-C27</f>
        <v>0</v>
      </c>
      <c r="H27" s="327"/>
      <c r="I27" s="327">
        <v>4024.2</v>
      </c>
      <c r="J27" s="327"/>
      <c r="K27" s="328">
        <v>0</v>
      </c>
      <c r="L27" s="329">
        <f>X27+Y27</f>
        <v>18575928</v>
      </c>
      <c r="M27" s="329">
        <f t="shared" si="23"/>
        <v>18575928</v>
      </c>
      <c r="N27" s="329">
        <v>0</v>
      </c>
      <c r="O27" s="329"/>
      <c r="P27" s="329"/>
      <c r="Q27" s="325">
        <f t="shared" si="21"/>
        <v>18575928</v>
      </c>
      <c r="R27" s="329">
        <v>80995</v>
      </c>
      <c r="S27" s="325">
        <f t="shared" si="22"/>
        <v>91927</v>
      </c>
      <c r="T27" s="325">
        <f t="shared" si="20"/>
        <v>45969</v>
      </c>
      <c r="U27" s="325">
        <f t="shared" si="18"/>
        <v>67302823</v>
      </c>
      <c r="V27" s="325">
        <f t="shared" si="19"/>
        <v>45245</v>
      </c>
      <c r="W27" s="330">
        <v>907</v>
      </c>
      <c r="X27" s="194">
        <f>59209+16659126</f>
        <v>16718335</v>
      </c>
      <c r="Y27" s="195">
        <f>6579+1851014</f>
        <v>1857593</v>
      </c>
      <c r="Z27" s="194">
        <v>59209</v>
      </c>
      <c r="AA27" s="194">
        <v>45509</v>
      </c>
      <c r="AB27" s="195">
        <f>26139+6579</f>
        <v>32718</v>
      </c>
      <c r="AC27" s="195">
        <v>460</v>
      </c>
      <c r="AD27" s="194">
        <v>62063</v>
      </c>
      <c r="AE27" s="194">
        <f>66581800+47994</f>
        <v>66629794</v>
      </c>
      <c r="AF27" s="195">
        <f>672544+485</f>
        <v>673029</v>
      </c>
      <c r="AG27" s="195">
        <v>44793</v>
      </c>
      <c r="AH27" s="195">
        <v>452</v>
      </c>
      <c r="AI27" s="116" t="s">
        <v>225</v>
      </c>
    </row>
    <row r="28" spans="1:35" ht="59.25" hidden="1" customHeight="1">
      <c r="A28" s="266" t="s">
        <v>78</v>
      </c>
      <c r="B28" s="267" t="s">
        <v>125</v>
      </c>
      <c r="C28" s="81">
        <v>10592.8</v>
      </c>
      <c r="D28" s="81"/>
      <c r="E28" s="81">
        <v>10592830</v>
      </c>
      <c r="F28" s="82">
        <f>E28/1000</f>
        <v>10592.83</v>
      </c>
      <c r="G28" s="82">
        <f>F28-C28</f>
        <v>3.0000000000654836E-2</v>
      </c>
      <c r="H28" s="263"/>
      <c r="I28" s="263">
        <v>5000</v>
      </c>
      <c r="J28" s="263"/>
      <c r="K28" s="264">
        <v>10000</v>
      </c>
      <c r="L28" s="83">
        <f>X28+Y28</f>
        <v>0</v>
      </c>
      <c r="M28" s="83">
        <f t="shared" si="23"/>
        <v>-10000</v>
      </c>
      <c r="N28" s="83">
        <v>0</v>
      </c>
      <c r="O28" s="83"/>
      <c r="P28" s="83"/>
      <c r="Q28" s="81">
        <f t="shared" si="21"/>
        <v>0</v>
      </c>
      <c r="R28" s="83">
        <v>0</v>
      </c>
      <c r="S28" s="81">
        <f t="shared" si="22"/>
        <v>0</v>
      </c>
      <c r="T28" s="81">
        <f t="shared" si="20"/>
        <v>0</v>
      </c>
      <c r="U28" s="81">
        <f t="shared" si="18"/>
        <v>0</v>
      </c>
      <c r="V28" s="81">
        <f t="shared" si="19"/>
        <v>0</v>
      </c>
      <c r="W28" s="265">
        <v>902</v>
      </c>
      <c r="X28" s="194"/>
      <c r="Y28" s="195"/>
      <c r="Z28" s="194"/>
      <c r="AA28" s="194"/>
      <c r="AB28" s="195"/>
      <c r="AC28" s="195"/>
      <c r="AD28" s="194"/>
      <c r="AE28" s="194"/>
      <c r="AF28" s="195"/>
      <c r="AG28" s="195"/>
      <c r="AH28" s="195"/>
      <c r="AI28" s="116"/>
    </row>
    <row r="29" spans="1:35" ht="27.75" customHeight="1">
      <c r="A29" s="352" t="s">
        <v>39</v>
      </c>
      <c r="B29" s="353" t="s">
        <v>59</v>
      </c>
      <c r="C29" s="350">
        <v>19852.8</v>
      </c>
      <c r="D29" s="350"/>
      <c r="E29" s="350">
        <v>19852840.23</v>
      </c>
      <c r="F29" s="356">
        <f>E29/1000</f>
        <v>19852.840230000002</v>
      </c>
      <c r="G29" s="356">
        <f>F29-C29</f>
        <v>4.0230000002338784E-2</v>
      </c>
      <c r="H29" s="348"/>
      <c r="I29" s="348">
        <v>17176</v>
      </c>
      <c r="J29" s="348"/>
      <c r="K29" s="357">
        <v>0</v>
      </c>
      <c r="L29" s="349">
        <f>X29+Y29</f>
        <v>11649400.41</v>
      </c>
      <c r="M29" s="349">
        <f t="shared" si="23"/>
        <v>11649400.41</v>
      </c>
      <c r="N29" s="349">
        <v>0</v>
      </c>
      <c r="O29" s="349"/>
      <c r="P29" s="349"/>
      <c r="Q29" s="350">
        <f t="shared" si="21"/>
        <v>11649400.41</v>
      </c>
      <c r="R29" s="349">
        <v>16941187.739999998</v>
      </c>
      <c r="S29" s="350">
        <f t="shared" si="22"/>
        <v>18472315.27</v>
      </c>
      <c r="T29" s="350">
        <f t="shared" si="20"/>
        <v>17911089.109999999</v>
      </c>
      <c r="U29" s="350">
        <f t="shared" si="18"/>
        <v>16374385.25</v>
      </c>
      <c r="V29" s="350">
        <f t="shared" si="19"/>
        <v>15721643.529999999</v>
      </c>
      <c r="W29" s="351">
        <v>905</v>
      </c>
      <c r="X29" s="116">
        <v>11532906.15</v>
      </c>
      <c r="Y29" s="195">
        <v>116494.26</v>
      </c>
      <c r="Z29" s="194">
        <v>18287591.640000001</v>
      </c>
      <c r="AA29" s="194">
        <v>17731978.219999999</v>
      </c>
      <c r="AB29" s="195">
        <v>184723.63</v>
      </c>
      <c r="AC29" s="195">
        <v>179110.89</v>
      </c>
      <c r="AD29" s="194"/>
      <c r="AE29" s="194">
        <v>16210640.939999999</v>
      </c>
      <c r="AF29" s="195">
        <v>163744.31</v>
      </c>
      <c r="AG29" s="195">
        <v>15407210.25</v>
      </c>
      <c r="AH29" s="195">
        <v>314433.28000000003</v>
      </c>
      <c r="AI29" s="116"/>
    </row>
    <row r="30" spans="1:35" ht="24.75" hidden="1">
      <c r="A30" s="119" t="s">
        <v>40</v>
      </c>
      <c r="B30" s="120" t="s">
        <v>24</v>
      </c>
      <c r="C30" s="25"/>
      <c r="D30" s="25"/>
      <c r="E30" s="25"/>
      <c r="F30" s="116">
        <f>E30/1000</f>
        <v>0</v>
      </c>
      <c r="G30" s="116">
        <f>F30-C30</f>
        <v>0</v>
      </c>
      <c r="H30" s="114"/>
      <c r="I30" s="114"/>
      <c r="J30" s="114"/>
      <c r="K30" s="131">
        <v>0</v>
      </c>
      <c r="L30" s="195">
        <f>X30+Y30</f>
        <v>0</v>
      </c>
      <c r="M30" s="195">
        <f t="shared" si="23"/>
        <v>0</v>
      </c>
      <c r="N30" s="195">
        <v>0</v>
      </c>
      <c r="O30" s="195"/>
      <c r="P30" s="195"/>
      <c r="Q30" s="25">
        <f t="shared" si="21"/>
        <v>0</v>
      </c>
      <c r="R30" s="195">
        <v>0</v>
      </c>
      <c r="S30" s="25">
        <f t="shared" si="22"/>
        <v>0</v>
      </c>
      <c r="T30" s="25">
        <f t="shared" si="20"/>
        <v>0</v>
      </c>
      <c r="U30" s="25">
        <f t="shared" si="18"/>
        <v>0</v>
      </c>
      <c r="V30" s="25">
        <f t="shared" si="19"/>
        <v>0</v>
      </c>
      <c r="W30" s="202"/>
      <c r="X30" s="194"/>
      <c r="Y30" s="195"/>
      <c r="Z30" s="194"/>
      <c r="AA30" s="194"/>
      <c r="AB30" s="195"/>
      <c r="AC30" s="195"/>
      <c r="AD30" s="194"/>
      <c r="AE30" s="194"/>
      <c r="AF30" s="195"/>
      <c r="AG30" s="195"/>
      <c r="AH30" s="195"/>
      <c r="AI30" s="116"/>
    </row>
    <row r="31" spans="1:35">
      <c r="A31" s="216" t="s">
        <v>42</v>
      </c>
      <c r="B31" s="220" t="s">
        <v>20</v>
      </c>
      <c r="C31" s="24">
        <f>C32+C33+C38+C40+C47+C34+C39+C48+C50+C51</f>
        <v>7052.7</v>
      </c>
      <c r="D31" s="24">
        <f>D32+D33+D38+D40+D47+D34+D39+D48+D50+D51</f>
        <v>0</v>
      </c>
      <c r="E31" s="24">
        <f>E32+E33+E38+E40+E47+E34+E39+E48+E50+E51</f>
        <v>7052716.3899999997</v>
      </c>
      <c r="F31" s="24">
        <f>F32+F33+F38+F40+F47+F34+F39+F48+F50+F51</f>
        <v>6973.7163900000005</v>
      </c>
      <c r="G31" s="24">
        <f>G32+G33+G38+G40+G47+G34+G39+G48+G50+G51</f>
        <v>1.6390000000068738E-2</v>
      </c>
      <c r="H31" s="15">
        <f>SUM(H32:H51)</f>
        <v>0</v>
      </c>
      <c r="I31" s="15">
        <f>SUM(I32:I51)</f>
        <v>6369.8</v>
      </c>
      <c r="J31" s="15">
        <f>SUM(J32:J51)</f>
        <v>0</v>
      </c>
      <c r="K31" s="218">
        <f>SUM(K32:K51)</f>
        <v>0</v>
      </c>
      <c r="L31" s="24">
        <f>SUM(L32:L51)</f>
        <v>19991584.880000003</v>
      </c>
      <c r="M31" s="219">
        <f t="shared" si="23"/>
        <v>19991584.880000003</v>
      </c>
      <c r="N31" s="24">
        <f>SUM(N32:N51)</f>
        <v>0</v>
      </c>
      <c r="O31" s="24"/>
      <c r="P31" s="24"/>
      <c r="Q31" s="24">
        <f t="shared" ref="Q31:V31" si="24">SUM(Q32:Q51)</f>
        <v>32531745.879999999</v>
      </c>
      <c r="R31" s="24">
        <f t="shared" si="24"/>
        <v>5042820</v>
      </c>
      <c r="S31" s="24">
        <f t="shared" si="24"/>
        <v>29178869</v>
      </c>
      <c r="T31" s="24">
        <f t="shared" si="24"/>
        <v>32157620</v>
      </c>
      <c r="U31" s="24">
        <f t="shared" si="24"/>
        <v>5523860.2000000002</v>
      </c>
      <c r="V31" s="24">
        <f t="shared" si="24"/>
        <v>3285695.5</v>
      </c>
      <c r="W31" s="24"/>
      <c r="X31" s="24">
        <f t="shared" ref="X31:AH31" si="25">SUM(X32:X51)</f>
        <v>0</v>
      </c>
      <c r="Y31" s="24">
        <f t="shared" si="25"/>
        <v>32531745.879999999</v>
      </c>
      <c r="Z31" s="24">
        <f t="shared" si="25"/>
        <v>0</v>
      </c>
      <c r="AA31" s="24">
        <f t="shared" si="25"/>
        <v>0</v>
      </c>
      <c r="AB31" s="24">
        <f t="shared" si="25"/>
        <v>29178869</v>
      </c>
      <c r="AC31" s="24">
        <f t="shared" si="25"/>
        <v>32157620</v>
      </c>
      <c r="AD31" s="24">
        <f t="shared" si="25"/>
        <v>0</v>
      </c>
      <c r="AE31" s="24">
        <f t="shared" si="25"/>
        <v>0</v>
      </c>
      <c r="AF31" s="24">
        <f t="shared" si="25"/>
        <v>5523860.2000000002</v>
      </c>
      <c r="AG31" s="24">
        <f t="shared" si="25"/>
        <v>0</v>
      </c>
      <c r="AH31" s="24">
        <f t="shared" si="25"/>
        <v>3285695.5</v>
      </c>
      <c r="AI31" s="116"/>
    </row>
    <row r="32" spans="1:35" ht="27" customHeight="1">
      <c r="A32" s="300"/>
      <c r="B32" s="301" t="s">
        <v>21</v>
      </c>
      <c r="C32" s="293">
        <f>3236+2126</f>
        <v>5362</v>
      </c>
      <c r="D32" s="293"/>
      <c r="E32" s="293">
        <f>3236000+2126000</f>
        <v>5362000</v>
      </c>
      <c r="F32" s="294">
        <f>E32/1000</f>
        <v>5362</v>
      </c>
      <c r="G32" s="294">
        <f>F32-C32</f>
        <v>0</v>
      </c>
      <c r="H32" s="295"/>
      <c r="I32" s="295">
        <v>5412</v>
      </c>
      <c r="J32" s="295"/>
      <c r="K32" s="296">
        <v>0</v>
      </c>
      <c r="L32" s="297">
        <f>X32+Y32</f>
        <v>2314762</v>
      </c>
      <c r="M32" s="297">
        <f t="shared" si="23"/>
        <v>2314762</v>
      </c>
      <c r="N32" s="297">
        <v>0</v>
      </c>
      <c r="O32" s="297"/>
      <c r="P32" s="297"/>
      <c r="Q32" s="293">
        <f>X32+Y32</f>
        <v>2314762</v>
      </c>
      <c r="R32" s="297">
        <v>1173820</v>
      </c>
      <c r="S32" s="293">
        <f t="shared" ref="S32:T34" si="26">Z32+AB32</f>
        <v>1157381</v>
      </c>
      <c r="T32" s="293">
        <f t="shared" si="26"/>
        <v>2158000</v>
      </c>
      <c r="U32" s="293">
        <f t="shared" ref="U32:U51" si="27">AE32+AF32</f>
        <v>1079000</v>
      </c>
      <c r="V32" s="293">
        <f t="shared" ref="V32:V50" si="28">AG32+AH32</f>
        <v>719000</v>
      </c>
      <c r="W32" s="298">
        <v>906</v>
      </c>
      <c r="X32" s="194"/>
      <c r="Y32" s="195">
        <f>2314762</f>
        <v>2314762</v>
      </c>
      <c r="Z32" s="194"/>
      <c r="AA32" s="194"/>
      <c r="AB32" s="195">
        <f>1157381</f>
        <v>1157381</v>
      </c>
      <c r="AC32" s="195">
        <v>2158000</v>
      </c>
      <c r="AD32" s="194"/>
      <c r="AE32" s="194"/>
      <c r="AF32" s="195">
        <v>1079000</v>
      </c>
      <c r="AG32" s="195"/>
      <c r="AH32" s="195">
        <v>719000</v>
      </c>
      <c r="AI32" s="116"/>
    </row>
    <row r="33" spans="1:35" ht="26.25" customHeight="1">
      <c r="A33" s="300"/>
      <c r="B33" s="301" t="s">
        <v>123</v>
      </c>
      <c r="C33" s="293">
        <v>500</v>
      </c>
      <c r="D33" s="293"/>
      <c r="E33" s="293">
        <v>500000</v>
      </c>
      <c r="F33" s="294">
        <f>E33/1000</f>
        <v>500</v>
      </c>
      <c r="G33" s="294">
        <f>F33-C33</f>
        <v>0</v>
      </c>
      <c r="H33" s="295"/>
      <c r="I33" s="295">
        <v>543.79999999999995</v>
      </c>
      <c r="J33" s="295"/>
      <c r="K33" s="296">
        <v>0</v>
      </c>
      <c r="L33" s="297">
        <f>X33+Y33</f>
        <v>7945000</v>
      </c>
      <c r="M33" s="297">
        <f t="shared" si="23"/>
        <v>7945000</v>
      </c>
      <c r="N33" s="297">
        <v>0</v>
      </c>
      <c r="O33" s="297"/>
      <c r="P33" s="297"/>
      <c r="Q33" s="293">
        <f>X33+Y33</f>
        <v>7945000</v>
      </c>
      <c r="R33" s="297">
        <v>1700000</v>
      </c>
      <c r="S33" s="293">
        <f t="shared" si="26"/>
        <v>4295000</v>
      </c>
      <c r="T33" s="293">
        <f t="shared" si="26"/>
        <v>2986500</v>
      </c>
      <c r="U33" s="293">
        <f t="shared" si="27"/>
        <v>1991000</v>
      </c>
      <c r="V33" s="293">
        <f t="shared" si="28"/>
        <v>995500</v>
      </c>
      <c r="W33" s="298">
        <v>906</v>
      </c>
      <c r="X33" s="194"/>
      <c r="Y33" s="195">
        <v>7945000</v>
      </c>
      <c r="Z33" s="194"/>
      <c r="AA33" s="194"/>
      <c r="AB33" s="195">
        <v>4295000</v>
      </c>
      <c r="AC33" s="195">
        <v>2986500</v>
      </c>
      <c r="AD33" s="194"/>
      <c r="AE33" s="194"/>
      <c r="AF33" s="195">
        <v>1991000</v>
      </c>
      <c r="AG33" s="195"/>
      <c r="AH33" s="195">
        <v>995500</v>
      </c>
      <c r="AI33" s="116"/>
    </row>
    <row r="34" spans="1:35" ht="23.25" hidden="1" customHeight="1">
      <c r="A34" s="352"/>
      <c r="B34" s="359" t="s">
        <v>120</v>
      </c>
      <c r="C34" s="350"/>
      <c r="D34" s="350"/>
      <c r="E34" s="350"/>
      <c r="F34" s="356">
        <f>E34/1000</f>
        <v>0</v>
      </c>
      <c r="G34" s="356">
        <f>F34-C34</f>
        <v>0</v>
      </c>
      <c r="H34" s="348"/>
      <c r="I34" s="348"/>
      <c r="J34" s="348"/>
      <c r="K34" s="357">
        <v>0</v>
      </c>
      <c r="L34" s="349">
        <f>X34+Y34</f>
        <v>0</v>
      </c>
      <c r="M34" s="349">
        <f t="shared" si="23"/>
        <v>0</v>
      </c>
      <c r="N34" s="349">
        <v>0</v>
      </c>
      <c r="O34" s="349"/>
      <c r="P34" s="349"/>
      <c r="Q34" s="350">
        <f>X34+Y34</f>
        <v>0</v>
      </c>
      <c r="R34" s="349">
        <v>0</v>
      </c>
      <c r="S34" s="350">
        <f t="shared" si="26"/>
        <v>1767100</v>
      </c>
      <c r="T34" s="350">
        <v>0</v>
      </c>
      <c r="U34" s="350">
        <f t="shared" si="27"/>
        <v>0</v>
      </c>
      <c r="V34" s="350">
        <f t="shared" si="28"/>
        <v>0</v>
      </c>
      <c r="W34" s="351">
        <v>905</v>
      </c>
      <c r="X34" s="194"/>
      <c r="Y34" s="195"/>
      <c r="Z34" s="194"/>
      <c r="AA34" s="194"/>
      <c r="AB34" s="195">
        <v>1767100</v>
      </c>
      <c r="AC34" s="195">
        <v>0</v>
      </c>
      <c r="AD34" s="194"/>
      <c r="AE34" s="194"/>
      <c r="AF34" s="195"/>
      <c r="AG34" s="195"/>
      <c r="AH34" s="195">
        <v>0</v>
      </c>
      <c r="AI34" s="116"/>
    </row>
    <row r="35" spans="1:35" ht="23.25" customHeight="1">
      <c r="A35" s="352"/>
      <c r="B35" s="359" t="s">
        <v>187</v>
      </c>
      <c r="C35" s="350"/>
      <c r="D35" s="350"/>
      <c r="E35" s="350"/>
      <c r="F35" s="356"/>
      <c r="G35" s="356"/>
      <c r="H35" s="348"/>
      <c r="I35" s="348"/>
      <c r="J35" s="348"/>
      <c r="K35" s="357"/>
      <c r="L35" s="349"/>
      <c r="M35" s="349"/>
      <c r="N35" s="349"/>
      <c r="O35" s="349"/>
      <c r="P35" s="349"/>
      <c r="Q35" s="350"/>
      <c r="R35" s="349"/>
      <c r="S35" s="350"/>
      <c r="T35" s="350">
        <f t="shared" ref="T35:T51" si="29">AA35+AC35</f>
        <v>0</v>
      </c>
      <c r="U35" s="350">
        <f t="shared" si="27"/>
        <v>157740.20000000001</v>
      </c>
      <c r="V35" s="350">
        <f t="shared" si="28"/>
        <v>109075.5</v>
      </c>
      <c r="W35" s="351">
        <v>905</v>
      </c>
      <c r="X35" s="194"/>
      <c r="Y35" s="195"/>
      <c r="Z35" s="194"/>
      <c r="AA35" s="194"/>
      <c r="AB35" s="195"/>
      <c r="AC35" s="195"/>
      <c r="AD35" s="194"/>
      <c r="AE35" s="194"/>
      <c r="AF35" s="195">
        <v>157740.20000000001</v>
      </c>
      <c r="AG35" s="195"/>
      <c r="AH35" s="195">
        <v>109075.5</v>
      </c>
      <c r="AI35" s="116"/>
    </row>
    <row r="36" spans="1:35" ht="36.75" customHeight="1">
      <c r="A36" s="352"/>
      <c r="B36" s="359" t="s">
        <v>172</v>
      </c>
      <c r="C36" s="350"/>
      <c r="D36" s="350"/>
      <c r="E36" s="350"/>
      <c r="F36" s="356"/>
      <c r="G36" s="356"/>
      <c r="H36" s="348"/>
      <c r="I36" s="348"/>
      <c r="J36" s="348"/>
      <c r="K36" s="357"/>
      <c r="L36" s="349"/>
      <c r="M36" s="349"/>
      <c r="N36" s="349"/>
      <c r="O36" s="349"/>
      <c r="P36" s="349"/>
      <c r="Q36" s="350">
        <f t="shared" ref="Q36:Q48" si="30">X36+Y36</f>
        <v>0</v>
      </c>
      <c r="R36" s="349"/>
      <c r="S36" s="350">
        <f t="shared" ref="S36:S48" si="31">Z36+AB36</f>
        <v>8000000</v>
      </c>
      <c r="T36" s="350">
        <f t="shared" si="29"/>
        <v>23849000</v>
      </c>
      <c r="U36" s="350">
        <f t="shared" si="27"/>
        <v>0</v>
      </c>
      <c r="V36" s="350">
        <f t="shared" si="28"/>
        <v>0</v>
      </c>
      <c r="W36" s="351">
        <v>905</v>
      </c>
      <c r="X36" s="194"/>
      <c r="Y36" s="195"/>
      <c r="Z36" s="194"/>
      <c r="AA36" s="194"/>
      <c r="AB36" s="195">
        <v>8000000</v>
      </c>
      <c r="AC36" s="195">
        <v>23849000</v>
      </c>
      <c r="AD36" s="194"/>
      <c r="AE36" s="194"/>
      <c r="AF36" s="195"/>
      <c r="AG36" s="195"/>
      <c r="AH36" s="195"/>
      <c r="AI36" s="116"/>
    </row>
    <row r="37" spans="1:35" ht="24.75">
      <c r="A37" s="300"/>
      <c r="B37" s="302" t="s">
        <v>88</v>
      </c>
      <c r="C37" s="293"/>
      <c r="D37" s="293"/>
      <c r="E37" s="293"/>
      <c r="F37" s="294"/>
      <c r="G37" s="294"/>
      <c r="H37" s="295"/>
      <c r="I37" s="295"/>
      <c r="J37" s="295"/>
      <c r="K37" s="296">
        <v>0</v>
      </c>
      <c r="L37" s="297">
        <f>X37+Y37</f>
        <v>5001000</v>
      </c>
      <c r="M37" s="297">
        <f>L37-K37</f>
        <v>5001000</v>
      </c>
      <c r="N37" s="297">
        <v>0</v>
      </c>
      <c r="O37" s="297"/>
      <c r="P37" s="297"/>
      <c r="Q37" s="293">
        <f t="shared" si="30"/>
        <v>5001000</v>
      </c>
      <c r="R37" s="297">
        <v>1500000</v>
      </c>
      <c r="S37" s="293">
        <f t="shared" si="31"/>
        <v>2701000</v>
      </c>
      <c r="T37" s="293">
        <f t="shared" si="29"/>
        <v>2502000</v>
      </c>
      <c r="U37" s="293">
        <f t="shared" si="27"/>
        <v>1668000</v>
      </c>
      <c r="V37" s="293">
        <f t="shared" si="28"/>
        <v>834000</v>
      </c>
      <c r="W37" s="298">
        <v>906</v>
      </c>
      <c r="X37" s="194"/>
      <c r="Y37" s="195">
        <v>5001000</v>
      </c>
      <c r="Z37" s="194"/>
      <c r="AA37" s="194"/>
      <c r="AB37" s="195">
        <v>2701000</v>
      </c>
      <c r="AC37" s="195">
        <v>2502000</v>
      </c>
      <c r="AD37" s="194"/>
      <c r="AE37" s="194"/>
      <c r="AF37" s="195">
        <v>1668000</v>
      </c>
      <c r="AG37" s="195"/>
      <c r="AH37" s="195">
        <v>834000</v>
      </c>
      <c r="AI37" s="116"/>
    </row>
    <row r="38" spans="1:35" ht="15" customHeight="1">
      <c r="A38" s="269"/>
      <c r="B38" s="268" t="s">
        <v>89</v>
      </c>
      <c r="C38" s="81">
        <v>508.9</v>
      </c>
      <c r="D38" s="81"/>
      <c r="E38" s="81">
        <v>508947.39</v>
      </c>
      <c r="F38" s="82">
        <f>E38/1000</f>
        <v>508.94739000000004</v>
      </c>
      <c r="G38" s="82">
        <f>F38-C38</f>
        <v>4.7390000000063992E-2</v>
      </c>
      <c r="H38" s="263"/>
      <c r="I38" s="263">
        <v>111</v>
      </c>
      <c r="J38" s="263"/>
      <c r="K38" s="264">
        <v>0</v>
      </c>
      <c r="L38" s="83">
        <f>X38+Y38</f>
        <v>182000</v>
      </c>
      <c r="M38" s="83">
        <f>L38-K38</f>
        <v>182000</v>
      </c>
      <c r="N38" s="83">
        <v>0</v>
      </c>
      <c r="O38" s="83"/>
      <c r="P38" s="83"/>
      <c r="Q38" s="81">
        <f t="shared" si="30"/>
        <v>182000</v>
      </c>
      <c r="R38" s="83">
        <v>109000</v>
      </c>
      <c r="S38" s="81">
        <f t="shared" si="31"/>
        <v>109000</v>
      </c>
      <c r="T38" s="81">
        <f t="shared" si="29"/>
        <v>166000</v>
      </c>
      <c r="U38" s="81">
        <f t="shared" si="27"/>
        <v>132000</v>
      </c>
      <c r="V38" s="81">
        <f t="shared" si="28"/>
        <v>132000</v>
      </c>
      <c r="W38" s="265">
        <v>902</v>
      </c>
      <c r="X38" s="194"/>
      <c r="Y38" s="195">
        <v>182000</v>
      </c>
      <c r="Z38" s="194"/>
      <c r="AA38" s="194"/>
      <c r="AB38" s="195">
        <v>109000</v>
      </c>
      <c r="AC38" s="195">
        <v>166000</v>
      </c>
      <c r="AD38" s="194"/>
      <c r="AE38" s="194"/>
      <c r="AF38" s="195">
        <v>132000</v>
      </c>
      <c r="AG38" s="195"/>
      <c r="AH38" s="195">
        <v>132000</v>
      </c>
      <c r="AI38" s="116"/>
    </row>
    <row r="39" spans="1:35" ht="42.75" customHeight="1">
      <c r="A39" s="269"/>
      <c r="B39" s="268" t="s">
        <v>31</v>
      </c>
      <c r="C39" s="80">
        <v>31.3</v>
      </c>
      <c r="D39" s="80"/>
      <c r="E39" s="81">
        <v>31250</v>
      </c>
      <c r="F39" s="82">
        <f>E39/1000</f>
        <v>31.25</v>
      </c>
      <c r="G39" s="82">
        <f>F39-C39</f>
        <v>-5.0000000000000711E-2</v>
      </c>
      <c r="H39" s="263"/>
      <c r="I39" s="263">
        <v>32</v>
      </c>
      <c r="J39" s="263"/>
      <c r="K39" s="264">
        <v>0</v>
      </c>
      <c r="L39" s="83">
        <f>X39+Y39</f>
        <v>144000</v>
      </c>
      <c r="M39" s="83">
        <f>L39-K39</f>
        <v>144000</v>
      </c>
      <c r="N39" s="83">
        <v>0</v>
      </c>
      <c r="O39" s="83"/>
      <c r="P39" s="83"/>
      <c r="Q39" s="81">
        <f t="shared" si="30"/>
        <v>144000</v>
      </c>
      <c r="R39" s="83">
        <v>105000</v>
      </c>
      <c r="S39" s="81">
        <f t="shared" si="31"/>
        <v>144000</v>
      </c>
      <c r="T39" s="81">
        <f t="shared" si="29"/>
        <v>111500</v>
      </c>
      <c r="U39" s="81">
        <f t="shared" si="27"/>
        <v>111500</v>
      </c>
      <c r="V39" s="81">
        <f t="shared" si="28"/>
        <v>111500</v>
      </c>
      <c r="W39" s="265">
        <v>902</v>
      </c>
      <c r="X39" s="194"/>
      <c r="Y39" s="195">
        <v>144000</v>
      </c>
      <c r="Z39" s="194"/>
      <c r="AA39" s="194"/>
      <c r="AB39" s="195">
        <v>144000</v>
      </c>
      <c r="AC39" s="195">
        <v>111500</v>
      </c>
      <c r="AD39" s="194"/>
      <c r="AE39" s="194"/>
      <c r="AF39" s="195">
        <v>111500</v>
      </c>
      <c r="AG39" s="195"/>
      <c r="AH39" s="195">
        <v>111500</v>
      </c>
      <c r="AI39" s="116"/>
    </row>
    <row r="40" spans="1:35" ht="24">
      <c r="A40" s="269"/>
      <c r="B40" s="79" t="s">
        <v>28</v>
      </c>
      <c r="C40" s="80">
        <v>571.5</v>
      </c>
      <c r="D40" s="80"/>
      <c r="E40" s="81">
        <v>571519</v>
      </c>
      <c r="F40" s="82">
        <f>E40/1000</f>
        <v>571.51900000000001</v>
      </c>
      <c r="G40" s="82">
        <f>F40-C40</f>
        <v>1.9000000000005457E-2</v>
      </c>
      <c r="H40" s="263"/>
      <c r="I40" s="263">
        <v>271</v>
      </c>
      <c r="J40" s="263"/>
      <c r="K40" s="264">
        <v>0</v>
      </c>
      <c r="L40" s="83">
        <f>X40+Y40</f>
        <v>387324</v>
      </c>
      <c r="M40" s="83">
        <f>L40-K40</f>
        <v>387324</v>
      </c>
      <c r="N40" s="83">
        <v>0</v>
      </c>
      <c r="O40" s="83"/>
      <c r="P40" s="83"/>
      <c r="Q40" s="81">
        <f t="shared" si="30"/>
        <v>387324</v>
      </c>
      <c r="R40" s="83">
        <v>455000</v>
      </c>
      <c r="S40" s="81">
        <f t="shared" si="31"/>
        <v>387324</v>
      </c>
      <c r="T40" s="81">
        <f t="shared" si="29"/>
        <v>384620</v>
      </c>
      <c r="U40" s="81">
        <f t="shared" si="27"/>
        <v>0</v>
      </c>
      <c r="V40" s="81">
        <f t="shared" si="28"/>
        <v>0</v>
      </c>
      <c r="W40" s="265">
        <v>902</v>
      </c>
      <c r="X40" s="194"/>
      <c r="Y40" s="195">
        <v>387324</v>
      </c>
      <c r="Z40" s="194"/>
      <c r="AA40" s="194"/>
      <c r="AB40" s="195">
        <v>387324</v>
      </c>
      <c r="AC40" s="195">
        <v>384620</v>
      </c>
      <c r="AD40" s="194"/>
      <c r="AE40" s="194"/>
      <c r="AF40" s="195"/>
      <c r="AG40" s="195"/>
      <c r="AH40" s="195"/>
      <c r="AI40" s="116"/>
    </row>
    <row r="41" spans="1:35" ht="24">
      <c r="A41" s="269"/>
      <c r="B41" s="79" t="s">
        <v>211</v>
      </c>
      <c r="C41" s="80"/>
      <c r="D41" s="80"/>
      <c r="E41" s="81"/>
      <c r="F41" s="82"/>
      <c r="G41" s="82"/>
      <c r="H41" s="263"/>
      <c r="I41" s="263"/>
      <c r="J41" s="263"/>
      <c r="K41" s="264"/>
      <c r="L41" s="83"/>
      <c r="M41" s="83"/>
      <c r="N41" s="83"/>
      <c r="O41" s="83"/>
      <c r="P41" s="83"/>
      <c r="Q41" s="81"/>
      <c r="R41" s="83"/>
      <c r="S41" s="81"/>
      <c r="T41" s="81">
        <f t="shared" ref="T41" si="32">AA41+AC41</f>
        <v>0</v>
      </c>
      <c r="U41" s="81">
        <f t="shared" si="27"/>
        <v>384620</v>
      </c>
      <c r="V41" s="81">
        <f t="shared" ref="V41" si="33">AG41+AH41</f>
        <v>384620</v>
      </c>
      <c r="W41" s="265">
        <v>902</v>
      </c>
      <c r="X41" s="194"/>
      <c r="Y41" s="195"/>
      <c r="Z41" s="194"/>
      <c r="AA41" s="194"/>
      <c r="AB41" s="195"/>
      <c r="AC41" s="195"/>
      <c r="AD41" s="194"/>
      <c r="AE41" s="194"/>
      <c r="AF41" s="195">
        <v>384620</v>
      </c>
      <c r="AG41" s="195"/>
      <c r="AH41" s="195">
        <v>384620</v>
      </c>
      <c r="AI41" s="116"/>
    </row>
    <row r="42" spans="1:35" ht="24" hidden="1">
      <c r="A42" s="332"/>
      <c r="B42" s="331" t="s">
        <v>157</v>
      </c>
      <c r="C42" s="324"/>
      <c r="D42" s="324"/>
      <c r="E42" s="325"/>
      <c r="F42" s="326"/>
      <c r="G42" s="326"/>
      <c r="H42" s="327"/>
      <c r="I42" s="327"/>
      <c r="J42" s="327"/>
      <c r="K42" s="328"/>
      <c r="L42" s="329"/>
      <c r="M42" s="329"/>
      <c r="N42" s="329"/>
      <c r="O42" s="329"/>
      <c r="P42" s="329"/>
      <c r="Q42" s="325">
        <f t="shared" si="30"/>
        <v>0</v>
      </c>
      <c r="R42" s="329"/>
      <c r="S42" s="325">
        <f t="shared" si="31"/>
        <v>5000000</v>
      </c>
      <c r="T42" s="325">
        <f t="shared" si="29"/>
        <v>0</v>
      </c>
      <c r="U42" s="325">
        <f t="shared" si="27"/>
        <v>0</v>
      </c>
      <c r="V42" s="325">
        <f t="shared" si="28"/>
        <v>0</v>
      </c>
      <c r="W42" s="330">
        <v>907</v>
      </c>
      <c r="X42" s="194"/>
      <c r="Y42" s="195">
        <v>0</v>
      </c>
      <c r="Z42" s="194"/>
      <c r="AA42" s="194"/>
      <c r="AB42" s="195">
        <v>5000000</v>
      </c>
      <c r="AC42" s="195"/>
      <c r="AD42" s="194"/>
      <c r="AE42" s="194"/>
      <c r="AF42" s="195"/>
      <c r="AG42" s="195"/>
      <c r="AH42" s="195"/>
      <c r="AI42" s="116"/>
    </row>
    <row r="43" spans="1:35" ht="24" hidden="1">
      <c r="A43" s="332"/>
      <c r="B43" s="331" t="s">
        <v>155</v>
      </c>
      <c r="C43" s="324"/>
      <c r="D43" s="324"/>
      <c r="E43" s="325"/>
      <c r="F43" s="326"/>
      <c r="G43" s="326"/>
      <c r="H43" s="327"/>
      <c r="I43" s="327"/>
      <c r="J43" s="327"/>
      <c r="K43" s="328"/>
      <c r="L43" s="329"/>
      <c r="M43" s="329"/>
      <c r="N43" s="329"/>
      <c r="O43" s="329"/>
      <c r="P43" s="329"/>
      <c r="Q43" s="325">
        <f t="shared" si="30"/>
        <v>10000000</v>
      </c>
      <c r="R43" s="329"/>
      <c r="S43" s="325">
        <f t="shared" si="31"/>
        <v>5000000</v>
      </c>
      <c r="T43" s="325">
        <f t="shared" si="29"/>
        <v>0</v>
      </c>
      <c r="U43" s="325">
        <f t="shared" si="27"/>
        <v>0</v>
      </c>
      <c r="V43" s="325">
        <f t="shared" si="28"/>
        <v>0</v>
      </c>
      <c r="W43" s="330">
        <v>907</v>
      </c>
      <c r="X43" s="194"/>
      <c r="Y43" s="195">
        <v>10000000</v>
      </c>
      <c r="Z43" s="194"/>
      <c r="AA43" s="194"/>
      <c r="AB43" s="195">
        <v>5000000</v>
      </c>
      <c r="AC43" s="195"/>
      <c r="AD43" s="194"/>
      <c r="AE43" s="194"/>
      <c r="AF43" s="195"/>
      <c r="AG43" s="195"/>
      <c r="AH43" s="195"/>
    </row>
    <row r="44" spans="1:35" ht="24" hidden="1">
      <c r="A44" s="300"/>
      <c r="B44" s="299" t="s">
        <v>156</v>
      </c>
      <c r="C44" s="292"/>
      <c r="D44" s="292"/>
      <c r="E44" s="293"/>
      <c r="F44" s="294"/>
      <c r="G44" s="294"/>
      <c r="H44" s="295"/>
      <c r="I44" s="295"/>
      <c r="J44" s="295"/>
      <c r="K44" s="296"/>
      <c r="L44" s="297"/>
      <c r="M44" s="297"/>
      <c r="N44" s="297"/>
      <c r="O44" s="297"/>
      <c r="P44" s="297"/>
      <c r="Q44" s="293">
        <f t="shared" si="30"/>
        <v>600000</v>
      </c>
      <c r="R44" s="297"/>
      <c r="S44" s="293">
        <f t="shared" si="31"/>
        <v>600000</v>
      </c>
      <c r="T44" s="293">
        <f t="shared" si="29"/>
        <v>0</v>
      </c>
      <c r="U44" s="293">
        <f t="shared" si="27"/>
        <v>0</v>
      </c>
      <c r="V44" s="293">
        <f t="shared" si="28"/>
        <v>0</v>
      </c>
      <c r="W44" s="298">
        <v>906</v>
      </c>
      <c r="X44" s="194"/>
      <c r="Y44" s="195">
        <v>600000</v>
      </c>
      <c r="Z44" s="194"/>
      <c r="AA44" s="194"/>
      <c r="AB44" s="195">
        <v>600000</v>
      </c>
      <c r="AC44" s="195"/>
      <c r="AD44" s="194"/>
      <c r="AE44" s="194"/>
      <c r="AF44" s="195"/>
      <c r="AG44" s="195"/>
      <c r="AH44" s="195"/>
    </row>
    <row r="45" spans="1:35" ht="24" hidden="1">
      <c r="A45" s="276"/>
      <c r="B45" s="277" t="s">
        <v>153</v>
      </c>
      <c r="C45" s="278"/>
      <c r="D45" s="278"/>
      <c r="E45" s="279"/>
      <c r="F45" s="280"/>
      <c r="G45" s="280"/>
      <c r="H45" s="281"/>
      <c r="I45" s="281"/>
      <c r="J45" s="281"/>
      <c r="K45" s="282"/>
      <c r="L45" s="283"/>
      <c r="M45" s="283"/>
      <c r="N45" s="283"/>
      <c r="O45" s="283"/>
      <c r="P45" s="283"/>
      <c r="Q45" s="279">
        <f t="shared" si="30"/>
        <v>0</v>
      </c>
      <c r="R45" s="283"/>
      <c r="S45" s="279">
        <f t="shared" si="31"/>
        <v>0</v>
      </c>
      <c r="T45" s="279">
        <f t="shared" si="29"/>
        <v>0</v>
      </c>
      <c r="U45" s="279">
        <f t="shared" si="27"/>
        <v>0</v>
      </c>
      <c r="V45" s="279">
        <f t="shared" si="28"/>
        <v>0</v>
      </c>
      <c r="W45" s="284">
        <v>904</v>
      </c>
      <c r="X45" s="194"/>
      <c r="Y45" s="195"/>
      <c r="Z45" s="194"/>
      <c r="AA45" s="194"/>
      <c r="AB45" s="195"/>
      <c r="AC45" s="195"/>
      <c r="AD45" s="194"/>
      <c r="AE45" s="194"/>
      <c r="AF45" s="195"/>
      <c r="AG45" s="195"/>
      <c r="AH45" s="195"/>
    </row>
    <row r="46" spans="1:35" ht="24" hidden="1">
      <c r="A46" s="332"/>
      <c r="B46" s="323" t="s">
        <v>175</v>
      </c>
      <c r="C46" s="324"/>
      <c r="D46" s="324"/>
      <c r="E46" s="325"/>
      <c r="F46" s="326"/>
      <c r="G46" s="326"/>
      <c r="H46" s="327"/>
      <c r="I46" s="327"/>
      <c r="J46" s="327"/>
      <c r="K46" s="328"/>
      <c r="L46" s="329"/>
      <c r="M46" s="329"/>
      <c r="N46" s="329"/>
      <c r="O46" s="329"/>
      <c r="P46" s="329"/>
      <c r="Q46" s="325">
        <f t="shared" si="30"/>
        <v>1940161</v>
      </c>
      <c r="R46" s="329"/>
      <c r="S46" s="325">
        <f t="shared" si="31"/>
        <v>0</v>
      </c>
      <c r="T46" s="325">
        <f t="shared" si="29"/>
        <v>0</v>
      </c>
      <c r="U46" s="325">
        <f t="shared" si="27"/>
        <v>0</v>
      </c>
      <c r="V46" s="325">
        <f t="shared" si="28"/>
        <v>0</v>
      </c>
      <c r="W46" s="330">
        <v>907</v>
      </c>
      <c r="X46" s="194"/>
      <c r="Y46" s="195">
        <v>1940161</v>
      </c>
      <c r="Z46" s="194"/>
      <c r="AA46" s="194"/>
      <c r="AB46" s="195"/>
      <c r="AC46" s="195"/>
      <c r="AD46" s="194"/>
      <c r="AE46" s="194"/>
      <c r="AF46" s="195"/>
      <c r="AG46" s="195"/>
      <c r="AH46" s="195"/>
    </row>
    <row r="47" spans="1:35" ht="37.5" hidden="1" customHeight="1">
      <c r="A47" s="332"/>
      <c r="B47" s="331" t="s">
        <v>170</v>
      </c>
      <c r="C47" s="324"/>
      <c r="D47" s="324"/>
      <c r="E47" s="325"/>
      <c r="F47" s="326">
        <f>E47/1000</f>
        <v>0</v>
      </c>
      <c r="G47" s="326">
        <f>F47-C47</f>
        <v>0</v>
      </c>
      <c r="H47" s="327"/>
      <c r="I47" s="327"/>
      <c r="J47" s="327"/>
      <c r="K47" s="328"/>
      <c r="L47" s="329">
        <f>X47+Y47</f>
        <v>17498.88</v>
      </c>
      <c r="M47" s="329">
        <f>L47-K47</f>
        <v>17498.88</v>
      </c>
      <c r="N47" s="329">
        <v>0</v>
      </c>
      <c r="O47" s="329"/>
      <c r="P47" s="329"/>
      <c r="Q47" s="325">
        <f t="shared" si="30"/>
        <v>17498.88</v>
      </c>
      <c r="R47" s="329">
        <v>0</v>
      </c>
      <c r="S47" s="325">
        <f t="shared" si="31"/>
        <v>18064</v>
      </c>
      <c r="T47" s="325">
        <f t="shared" si="29"/>
        <v>0</v>
      </c>
      <c r="U47" s="325">
        <f t="shared" si="27"/>
        <v>0</v>
      </c>
      <c r="V47" s="325">
        <f t="shared" si="28"/>
        <v>0</v>
      </c>
      <c r="W47" s="330">
        <v>907</v>
      </c>
      <c r="X47" s="194"/>
      <c r="Y47" s="195">
        <f>18064-565.12</f>
        <v>17498.88</v>
      </c>
      <c r="Z47" s="194"/>
      <c r="AA47" s="194"/>
      <c r="AB47" s="195">
        <v>18064</v>
      </c>
      <c r="AC47" s="195"/>
      <c r="AD47" s="194"/>
      <c r="AE47" s="194"/>
      <c r="AF47" s="195"/>
      <c r="AG47" s="195"/>
      <c r="AH47" s="195"/>
    </row>
    <row r="48" spans="1:35" ht="24" hidden="1">
      <c r="A48" s="352"/>
      <c r="B48" s="354" t="s">
        <v>163</v>
      </c>
      <c r="C48" s="358"/>
      <c r="D48" s="358"/>
      <c r="E48" s="350"/>
      <c r="F48" s="356">
        <f>E48/1000</f>
        <v>0</v>
      </c>
      <c r="G48" s="356">
        <f>F48-C48</f>
        <v>0</v>
      </c>
      <c r="H48" s="348"/>
      <c r="I48" s="348"/>
      <c r="J48" s="348"/>
      <c r="K48" s="357"/>
      <c r="L48" s="349">
        <f>X48+Y48</f>
        <v>4000000</v>
      </c>
      <c r="M48" s="349">
        <f>L48-K48</f>
        <v>4000000</v>
      </c>
      <c r="N48" s="349">
        <v>0</v>
      </c>
      <c r="O48" s="349"/>
      <c r="P48" s="349"/>
      <c r="Q48" s="350">
        <f t="shared" si="30"/>
        <v>4000000</v>
      </c>
      <c r="R48" s="349">
        <v>0</v>
      </c>
      <c r="S48" s="350">
        <f t="shared" si="31"/>
        <v>0</v>
      </c>
      <c r="T48" s="350">
        <f t="shared" si="29"/>
        <v>0</v>
      </c>
      <c r="U48" s="350">
        <f t="shared" si="27"/>
        <v>0</v>
      </c>
      <c r="V48" s="350">
        <f t="shared" si="28"/>
        <v>0</v>
      </c>
      <c r="W48" s="351">
        <v>905</v>
      </c>
      <c r="X48" s="194"/>
      <c r="Y48" s="195">
        <v>4000000</v>
      </c>
      <c r="Z48" s="194"/>
      <c r="AA48" s="194"/>
      <c r="AB48" s="195"/>
      <c r="AC48" s="195"/>
      <c r="AD48" s="194"/>
      <c r="AE48" s="194"/>
      <c r="AF48" s="195"/>
      <c r="AG48" s="195"/>
      <c r="AH48" s="195"/>
    </row>
    <row r="49" spans="1:34" ht="36" hidden="1">
      <c r="A49" s="332"/>
      <c r="B49" s="331" t="s">
        <v>195</v>
      </c>
      <c r="C49" s="324"/>
      <c r="D49" s="324"/>
      <c r="E49" s="325"/>
      <c r="F49" s="326"/>
      <c r="G49" s="326"/>
      <c r="H49" s="327"/>
      <c r="I49" s="327"/>
      <c r="J49" s="327"/>
      <c r="K49" s="328"/>
      <c r="L49" s="329"/>
      <c r="M49" s="329"/>
      <c r="N49" s="329"/>
      <c r="O49" s="329"/>
      <c r="P49" s="329"/>
      <c r="Q49" s="325"/>
      <c r="R49" s="329"/>
      <c r="S49" s="325"/>
      <c r="T49" s="325">
        <f t="shared" si="29"/>
        <v>0</v>
      </c>
      <c r="U49" s="325">
        <f t="shared" si="27"/>
        <v>0</v>
      </c>
      <c r="V49" s="325">
        <f t="shared" si="28"/>
        <v>0</v>
      </c>
      <c r="W49" s="330">
        <v>907</v>
      </c>
      <c r="X49" s="194"/>
      <c r="Y49" s="195"/>
      <c r="Z49" s="194"/>
      <c r="AA49" s="194"/>
      <c r="AB49" s="195"/>
      <c r="AC49" s="195"/>
      <c r="AD49" s="194"/>
      <c r="AE49" s="194"/>
      <c r="AF49" s="195"/>
      <c r="AG49" s="195"/>
      <c r="AH49" s="195"/>
    </row>
    <row r="50" spans="1:34" ht="24" hidden="1">
      <c r="A50" s="352"/>
      <c r="B50" s="354" t="s">
        <v>193</v>
      </c>
      <c r="C50" s="358"/>
      <c r="D50" s="358"/>
      <c r="E50" s="350"/>
      <c r="F50" s="356">
        <f>E50/1000</f>
        <v>0</v>
      </c>
      <c r="G50" s="356">
        <f>F50-C50</f>
        <v>0</v>
      </c>
      <c r="H50" s="348"/>
      <c r="I50" s="348"/>
      <c r="J50" s="348"/>
      <c r="K50" s="357"/>
      <c r="L50" s="349">
        <f>X50+Y50</f>
        <v>0</v>
      </c>
      <c r="M50" s="349">
        <f>L50-K50</f>
        <v>0</v>
      </c>
      <c r="N50" s="349">
        <v>0</v>
      </c>
      <c r="O50" s="349"/>
      <c r="P50" s="349"/>
      <c r="Q50" s="350">
        <f>X50+Y50</f>
        <v>0</v>
      </c>
      <c r="R50" s="349">
        <v>0</v>
      </c>
      <c r="S50" s="350">
        <f>Z50+AB50</f>
        <v>0</v>
      </c>
      <c r="T50" s="350">
        <f t="shared" si="29"/>
        <v>0</v>
      </c>
      <c r="U50" s="350">
        <f t="shared" si="27"/>
        <v>0</v>
      </c>
      <c r="V50" s="350">
        <f t="shared" si="28"/>
        <v>0</v>
      </c>
      <c r="W50" s="351">
        <v>905</v>
      </c>
      <c r="X50" s="194"/>
      <c r="Y50" s="195"/>
      <c r="Z50" s="194"/>
      <c r="AA50" s="194"/>
      <c r="AB50" s="195"/>
      <c r="AC50" s="195"/>
      <c r="AD50" s="194"/>
      <c r="AE50" s="194"/>
      <c r="AF50" s="195"/>
      <c r="AG50" s="195"/>
      <c r="AH50" s="195"/>
    </row>
    <row r="51" spans="1:34" ht="24" hidden="1">
      <c r="A51" s="332"/>
      <c r="B51" s="331" t="s">
        <v>194</v>
      </c>
      <c r="C51" s="324">
        <v>79</v>
      </c>
      <c r="D51" s="324"/>
      <c r="E51" s="325">
        <v>79000</v>
      </c>
      <c r="F51" s="326"/>
      <c r="G51" s="326"/>
      <c r="H51" s="327"/>
      <c r="I51" s="327"/>
      <c r="J51" s="327"/>
      <c r="K51" s="328"/>
      <c r="L51" s="329">
        <f>X51+Y51</f>
        <v>0</v>
      </c>
      <c r="M51" s="329">
        <f>L51-K51</f>
        <v>0</v>
      </c>
      <c r="N51" s="329">
        <v>0</v>
      </c>
      <c r="O51" s="329"/>
      <c r="P51" s="329"/>
      <c r="Q51" s="325">
        <f>X51+Y51</f>
        <v>0</v>
      </c>
      <c r="R51" s="329">
        <v>0</v>
      </c>
      <c r="S51" s="325">
        <f>Z51+AB51</f>
        <v>0</v>
      </c>
      <c r="T51" s="325">
        <f t="shared" si="29"/>
        <v>0</v>
      </c>
      <c r="U51" s="325">
        <f t="shared" si="27"/>
        <v>0</v>
      </c>
      <c r="V51" s="325">
        <f t="shared" ref="V51" si="34">AF51+AH51</f>
        <v>0</v>
      </c>
      <c r="W51" s="330">
        <v>907</v>
      </c>
      <c r="X51" s="194"/>
      <c r="Y51" s="195"/>
      <c r="Z51" s="194"/>
      <c r="AA51" s="194"/>
      <c r="AB51" s="195"/>
      <c r="AC51" s="195"/>
      <c r="AD51" s="194"/>
      <c r="AE51" s="194"/>
      <c r="AF51" s="195"/>
      <c r="AG51" s="195"/>
      <c r="AH51" s="195"/>
    </row>
    <row r="52" spans="1:34" ht="16.899999999999999" customHeight="1">
      <c r="A52" s="216" t="s">
        <v>43</v>
      </c>
      <c r="B52" s="217" t="s">
        <v>3</v>
      </c>
      <c r="C52" s="221">
        <f>C53+C65+C66+C67+C69</f>
        <v>726424</v>
      </c>
      <c r="D52" s="221">
        <f>D53+D65+D66+D67+D69</f>
        <v>0</v>
      </c>
      <c r="E52" s="221">
        <f>E53+E65+E66+E67+E69</f>
        <v>726423994</v>
      </c>
      <c r="F52" s="221">
        <f>F53+F65+F66+F67+F69</f>
        <v>726423.99399999995</v>
      </c>
      <c r="G52" s="221">
        <f>G53+G65+G66+G67+G69</f>
        <v>-6.0000000003128662E-3</v>
      </c>
      <c r="H52" s="221">
        <f t="shared" ref="H52:N52" si="35">H53+H65+H66+H67+H69+H70</f>
        <v>608092</v>
      </c>
      <c r="I52" s="221">
        <f t="shared" si="35"/>
        <v>774941</v>
      </c>
      <c r="J52" s="221">
        <f t="shared" si="35"/>
        <v>696541</v>
      </c>
      <c r="K52" s="222">
        <f t="shared" si="35"/>
        <v>545714</v>
      </c>
      <c r="L52" s="204">
        <f t="shared" si="35"/>
        <v>969493522</v>
      </c>
      <c r="M52" s="204">
        <f t="shared" si="35"/>
        <v>968947808</v>
      </c>
      <c r="N52" s="204">
        <f t="shared" si="35"/>
        <v>417933</v>
      </c>
      <c r="O52" s="204"/>
      <c r="P52" s="204"/>
      <c r="Q52" s="24">
        <f t="shared" ref="Q52:U52" si="36">Q53+Q65+Q66+Q67+Q68+Q69+Q70</f>
        <v>971011622</v>
      </c>
      <c r="R52" s="24">
        <f t="shared" si="36"/>
        <v>891169400</v>
      </c>
      <c r="S52" s="24">
        <f t="shared" si="36"/>
        <v>964498001</v>
      </c>
      <c r="T52" s="24">
        <f t="shared" si="36"/>
        <v>1046379200</v>
      </c>
      <c r="U52" s="24">
        <f t="shared" si="36"/>
        <v>1041546500</v>
      </c>
      <c r="V52" s="24">
        <f t="shared" ref="V52" si="37">V53+V65+V66+V67+V68+V69+V70</f>
        <v>1043156500</v>
      </c>
      <c r="W52" s="24"/>
      <c r="X52" s="24">
        <f t="shared" ref="X52:AH52" si="38">X53+X65+X66+X67+X68+X69+X70</f>
        <v>3714622</v>
      </c>
      <c r="Y52" s="24">
        <f t="shared" si="38"/>
        <v>967297000</v>
      </c>
      <c r="Z52" s="24">
        <f t="shared" si="38"/>
        <v>14210001</v>
      </c>
      <c r="AA52" s="24">
        <f t="shared" si="38"/>
        <v>4747200</v>
      </c>
      <c r="AB52" s="24">
        <f t="shared" si="38"/>
        <v>950288000</v>
      </c>
      <c r="AC52" s="24">
        <f t="shared" si="38"/>
        <v>1041632000</v>
      </c>
      <c r="AD52" s="24">
        <f t="shared" si="38"/>
        <v>14886814</v>
      </c>
      <c r="AE52" s="24">
        <f t="shared" si="38"/>
        <v>5054500</v>
      </c>
      <c r="AF52" s="24">
        <f t="shared" si="38"/>
        <v>1036492000</v>
      </c>
      <c r="AG52" s="24">
        <f t="shared" si="38"/>
        <v>4907500</v>
      </c>
      <c r="AH52" s="24">
        <f t="shared" si="38"/>
        <v>1038249000</v>
      </c>
    </row>
    <row r="53" spans="1:34" ht="24.6" customHeight="1">
      <c r="A53" s="216" t="s">
        <v>44</v>
      </c>
      <c r="B53" s="217" t="s">
        <v>4</v>
      </c>
      <c r="C53" s="221">
        <f>SUM(C54:C64)</f>
        <v>691386</v>
      </c>
      <c r="D53" s="221">
        <f>SUM(D54:D64)</f>
        <v>0</v>
      </c>
      <c r="E53" s="204">
        <f>SUM(E54:E64)</f>
        <v>691386000</v>
      </c>
      <c r="F53" s="223">
        <f t="shared" ref="F53:F58" si="39">E53/1000</f>
        <v>691386</v>
      </c>
      <c r="G53" s="223">
        <f t="shared" ref="G53:G58" si="40">F53-C53</f>
        <v>0</v>
      </c>
      <c r="H53" s="221">
        <f t="shared" ref="H53:N53" si="41">SUM(H54:H64)</f>
        <v>576319</v>
      </c>
      <c r="I53" s="221">
        <f t="shared" si="41"/>
        <v>739626</v>
      </c>
      <c r="J53" s="221">
        <f t="shared" si="41"/>
        <v>662922</v>
      </c>
      <c r="K53" s="222">
        <f t="shared" si="41"/>
        <v>510529</v>
      </c>
      <c r="L53" s="204">
        <f t="shared" si="41"/>
        <v>917883000</v>
      </c>
      <c r="M53" s="204">
        <f t="shared" si="41"/>
        <v>917372471</v>
      </c>
      <c r="N53" s="204">
        <f t="shared" si="41"/>
        <v>383394</v>
      </c>
      <c r="O53" s="204"/>
      <c r="P53" s="204"/>
      <c r="Q53" s="24">
        <f t="shared" ref="Q53:U53" si="42">SUM(Q54:Q64)</f>
        <v>919397000</v>
      </c>
      <c r="R53" s="24">
        <f t="shared" si="42"/>
        <v>800982000</v>
      </c>
      <c r="S53" s="24">
        <f t="shared" si="42"/>
        <v>867867000</v>
      </c>
      <c r="T53" s="24">
        <f t="shared" si="42"/>
        <v>989795000</v>
      </c>
      <c r="U53" s="24">
        <f t="shared" si="42"/>
        <v>984655000</v>
      </c>
      <c r="V53" s="24">
        <f t="shared" ref="V53" si="43">SUM(V54:V64)</f>
        <v>986412000</v>
      </c>
      <c r="W53" s="24"/>
      <c r="X53" s="24">
        <f t="shared" ref="X53:AH53" si="44">SUM(X54:X64)</f>
        <v>0</v>
      </c>
      <c r="Y53" s="24">
        <f t="shared" si="44"/>
        <v>919397000</v>
      </c>
      <c r="Z53" s="24">
        <f t="shared" si="44"/>
        <v>0</v>
      </c>
      <c r="AA53" s="24">
        <f t="shared" si="44"/>
        <v>0</v>
      </c>
      <c r="AB53" s="24">
        <f t="shared" si="44"/>
        <v>867867000</v>
      </c>
      <c r="AC53" s="24">
        <f t="shared" si="44"/>
        <v>989795000</v>
      </c>
      <c r="AD53" s="24">
        <f t="shared" si="44"/>
        <v>0</v>
      </c>
      <c r="AE53" s="24">
        <f t="shared" si="44"/>
        <v>0</v>
      </c>
      <c r="AF53" s="24">
        <f t="shared" si="44"/>
        <v>984655000</v>
      </c>
      <c r="AG53" s="24">
        <f t="shared" si="44"/>
        <v>0</v>
      </c>
      <c r="AH53" s="24">
        <f t="shared" si="44"/>
        <v>986412000</v>
      </c>
    </row>
    <row r="54" spans="1:34" ht="60.75" customHeight="1">
      <c r="A54" s="300"/>
      <c r="B54" s="165" t="s">
        <v>5</v>
      </c>
      <c r="C54" s="303">
        <v>386036</v>
      </c>
      <c r="D54" s="304"/>
      <c r="E54" s="305">
        <v>386036000</v>
      </c>
      <c r="F54" s="294">
        <f t="shared" si="39"/>
        <v>386036</v>
      </c>
      <c r="G54" s="294">
        <f t="shared" si="40"/>
        <v>0</v>
      </c>
      <c r="H54" s="295">
        <v>334797</v>
      </c>
      <c r="I54" s="295">
        <v>430728</v>
      </c>
      <c r="J54" s="295">
        <v>385292</v>
      </c>
      <c r="K54" s="296">
        <v>300084</v>
      </c>
      <c r="L54" s="297">
        <f>X54+Y54</f>
        <v>536533000</v>
      </c>
      <c r="M54" s="297">
        <f>L54-K54</f>
        <v>536232916</v>
      </c>
      <c r="N54" s="297">
        <v>224097</v>
      </c>
      <c r="O54" s="297"/>
      <c r="P54" s="297"/>
      <c r="Q54" s="293">
        <f t="shared" ref="Q54:Q70" si="45">X54+Y54</f>
        <v>536533000</v>
      </c>
      <c r="R54" s="297">
        <v>449375000</v>
      </c>
      <c r="S54" s="293">
        <f t="shared" ref="S54:S69" si="46">Z54+AB54</f>
        <v>490287000</v>
      </c>
      <c r="T54" s="293">
        <f t="shared" ref="T54:T69" si="47">AA54+AC54</f>
        <v>607976000</v>
      </c>
      <c r="U54" s="293">
        <f t="shared" ref="U54:U69" si="48">AE54+AF54</f>
        <v>607976000</v>
      </c>
      <c r="V54" s="293">
        <f t="shared" ref="V54:V69" si="49">AG54+AH54</f>
        <v>607976000</v>
      </c>
      <c r="W54" s="298">
        <v>906</v>
      </c>
      <c r="X54" s="194"/>
      <c r="Y54" s="195">
        <v>536533000</v>
      </c>
      <c r="Z54" s="194"/>
      <c r="AA54" s="194"/>
      <c r="AB54" s="195">
        <v>490287000</v>
      </c>
      <c r="AC54" s="195">
        <v>607976000</v>
      </c>
      <c r="AD54" s="194"/>
      <c r="AE54" s="194"/>
      <c r="AF54" s="195">
        <v>607976000</v>
      </c>
      <c r="AG54" s="195"/>
      <c r="AH54" s="195">
        <v>607976000</v>
      </c>
    </row>
    <row r="55" spans="1:34" ht="39.75" customHeight="1">
      <c r="A55" s="300"/>
      <c r="B55" s="165" t="s">
        <v>6</v>
      </c>
      <c r="C55" s="303">
        <v>295813</v>
      </c>
      <c r="D55" s="304"/>
      <c r="E55" s="305">
        <v>295813000</v>
      </c>
      <c r="F55" s="294">
        <f t="shared" si="39"/>
        <v>295813</v>
      </c>
      <c r="G55" s="294">
        <f t="shared" si="40"/>
        <v>0</v>
      </c>
      <c r="H55" s="295">
        <v>231806</v>
      </c>
      <c r="I55" s="295">
        <v>299172</v>
      </c>
      <c r="J55" s="295">
        <v>267660</v>
      </c>
      <c r="K55" s="296">
        <v>199795</v>
      </c>
      <c r="L55" s="297">
        <f>X55+Y55</f>
        <v>362453000</v>
      </c>
      <c r="M55" s="297">
        <f>L55-K55</f>
        <v>362253205</v>
      </c>
      <c r="N55" s="297">
        <v>148579</v>
      </c>
      <c r="O55" s="297"/>
      <c r="P55" s="297"/>
      <c r="Q55" s="293">
        <f t="shared" si="45"/>
        <v>362453000</v>
      </c>
      <c r="R55" s="297">
        <v>339524000</v>
      </c>
      <c r="S55" s="293">
        <f t="shared" si="46"/>
        <v>357193000</v>
      </c>
      <c r="T55" s="293">
        <f t="shared" si="47"/>
        <v>358716000</v>
      </c>
      <c r="U55" s="293">
        <f t="shared" si="48"/>
        <v>353289000</v>
      </c>
      <c r="V55" s="293">
        <f t="shared" si="49"/>
        <v>354747000</v>
      </c>
      <c r="W55" s="298">
        <v>906</v>
      </c>
      <c r="X55" s="194"/>
      <c r="Y55" s="195">
        <v>362453000</v>
      </c>
      <c r="Z55" s="194"/>
      <c r="AA55" s="194"/>
      <c r="AB55" s="195">
        <v>357193000</v>
      </c>
      <c r="AC55" s="195">
        <v>358716000</v>
      </c>
      <c r="AD55" s="194"/>
      <c r="AE55" s="194"/>
      <c r="AF55" s="195">
        <v>353289000</v>
      </c>
      <c r="AG55" s="195"/>
      <c r="AH55" s="195">
        <v>354747000</v>
      </c>
    </row>
    <row r="56" spans="1:34" ht="26.25" customHeight="1">
      <c r="A56" s="300"/>
      <c r="B56" s="165" t="s">
        <v>7</v>
      </c>
      <c r="C56" s="303">
        <v>6199</v>
      </c>
      <c r="D56" s="304"/>
      <c r="E56" s="305">
        <v>6199000</v>
      </c>
      <c r="F56" s="294">
        <f t="shared" si="39"/>
        <v>6199</v>
      </c>
      <c r="G56" s="294">
        <f t="shared" si="40"/>
        <v>0</v>
      </c>
      <c r="H56" s="295">
        <v>6291</v>
      </c>
      <c r="I56" s="295">
        <v>6291</v>
      </c>
      <c r="J56" s="295">
        <v>6463</v>
      </c>
      <c r="K56" s="296">
        <v>5889</v>
      </c>
      <c r="L56" s="297">
        <f>X56+Y56</f>
        <v>7478000</v>
      </c>
      <c r="M56" s="297">
        <f>L56-K56</f>
        <v>7472111</v>
      </c>
      <c r="N56" s="297">
        <v>5889</v>
      </c>
      <c r="O56" s="297"/>
      <c r="P56" s="297"/>
      <c r="Q56" s="293">
        <f t="shared" si="45"/>
        <v>7478000</v>
      </c>
      <c r="R56" s="297">
        <v>6515000</v>
      </c>
      <c r="S56" s="293">
        <f t="shared" si="46"/>
        <v>7478000</v>
      </c>
      <c r="T56" s="293">
        <f t="shared" si="47"/>
        <v>9759000</v>
      </c>
      <c r="U56" s="293">
        <f t="shared" si="48"/>
        <v>9759000</v>
      </c>
      <c r="V56" s="293">
        <f t="shared" si="49"/>
        <v>9759000</v>
      </c>
      <c r="W56" s="298">
        <v>906</v>
      </c>
      <c r="X56" s="194"/>
      <c r="Y56" s="195">
        <v>7478000</v>
      </c>
      <c r="Z56" s="194"/>
      <c r="AA56" s="194"/>
      <c r="AB56" s="195">
        <v>7478000</v>
      </c>
      <c r="AC56" s="195">
        <v>9759000</v>
      </c>
      <c r="AD56" s="194"/>
      <c r="AE56" s="194"/>
      <c r="AF56" s="195">
        <v>9759000</v>
      </c>
      <c r="AG56" s="195"/>
      <c r="AH56" s="195">
        <v>9759000</v>
      </c>
    </row>
    <row r="57" spans="1:34" ht="35.25" customHeight="1">
      <c r="A57" s="269"/>
      <c r="B57" s="165" t="s">
        <v>8</v>
      </c>
      <c r="C57" s="270">
        <v>2</v>
      </c>
      <c r="D57" s="271"/>
      <c r="E57" s="272">
        <v>2000</v>
      </c>
      <c r="F57" s="82">
        <f t="shared" si="39"/>
        <v>2</v>
      </c>
      <c r="G57" s="82">
        <f t="shared" si="40"/>
        <v>0</v>
      </c>
      <c r="H57" s="263">
        <v>2</v>
      </c>
      <c r="I57" s="263">
        <v>2</v>
      </c>
      <c r="J57" s="263">
        <v>2</v>
      </c>
      <c r="K57" s="264">
        <v>2</v>
      </c>
      <c r="L57" s="83">
        <f>X57+Y57</f>
        <v>2000</v>
      </c>
      <c r="M57" s="83">
        <f>L57-K57</f>
        <v>1998</v>
      </c>
      <c r="N57" s="83">
        <v>2</v>
      </c>
      <c r="O57" s="83"/>
      <c r="P57" s="83"/>
      <c r="Q57" s="81">
        <f t="shared" si="45"/>
        <v>2000</v>
      </c>
      <c r="R57" s="83">
        <v>2000</v>
      </c>
      <c r="S57" s="81">
        <f t="shared" si="46"/>
        <v>2000</v>
      </c>
      <c r="T57" s="81">
        <f t="shared" si="47"/>
        <v>2000</v>
      </c>
      <c r="U57" s="81">
        <f t="shared" si="48"/>
        <v>2000</v>
      </c>
      <c r="V57" s="81">
        <f t="shared" si="49"/>
        <v>2000</v>
      </c>
      <c r="W57" s="265">
        <v>902</v>
      </c>
      <c r="X57" s="194"/>
      <c r="Y57" s="195">
        <v>2000</v>
      </c>
      <c r="Z57" s="194"/>
      <c r="AA57" s="194"/>
      <c r="AB57" s="195">
        <v>2000</v>
      </c>
      <c r="AC57" s="195">
        <v>2000</v>
      </c>
      <c r="AD57" s="194"/>
      <c r="AE57" s="194"/>
      <c r="AF57" s="195">
        <v>2000</v>
      </c>
      <c r="AG57" s="195"/>
      <c r="AH57" s="195">
        <v>2000</v>
      </c>
    </row>
    <row r="58" spans="1:34" ht="36.75" customHeight="1">
      <c r="A58" s="269"/>
      <c r="B58" s="165" t="s">
        <v>9</v>
      </c>
      <c r="C58" s="270">
        <v>558</v>
      </c>
      <c r="D58" s="271"/>
      <c r="E58" s="272">
        <v>558000</v>
      </c>
      <c r="F58" s="82">
        <f t="shared" si="39"/>
        <v>558</v>
      </c>
      <c r="G58" s="82">
        <f t="shared" si="40"/>
        <v>0</v>
      </c>
      <c r="H58" s="263">
        <v>558</v>
      </c>
      <c r="I58" s="263">
        <v>558</v>
      </c>
      <c r="J58" s="263">
        <v>579</v>
      </c>
      <c r="K58" s="264">
        <v>570</v>
      </c>
      <c r="L58" s="83">
        <f>X58+Y58</f>
        <v>754000</v>
      </c>
      <c r="M58" s="83">
        <f>L58-K58</f>
        <v>753430</v>
      </c>
      <c r="N58" s="83">
        <v>570</v>
      </c>
      <c r="O58" s="83"/>
      <c r="P58" s="83"/>
      <c r="Q58" s="81">
        <f t="shared" si="45"/>
        <v>754000</v>
      </c>
      <c r="R58" s="83">
        <v>641000</v>
      </c>
      <c r="S58" s="81">
        <f t="shared" si="46"/>
        <v>754000</v>
      </c>
      <c r="T58" s="81">
        <f t="shared" si="47"/>
        <v>754000</v>
      </c>
      <c r="U58" s="81">
        <f t="shared" si="48"/>
        <v>754000</v>
      </c>
      <c r="V58" s="81">
        <f t="shared" si="49"/>
        <v>754000</v>
      </c>
      <c r="W58" s="265">
        <v>902</v>
      </c>
      <c r="X58" s="194"/>
      <c r="Y58" s="195">
        <v>754000</v>
      </c>
      <c r="Z58" s="194"/>
      <c r="AA58" s="194"/>
      <c r="AB58" s="195">
        <v>754000</v>
      </c>
      <c r="AC58" s="195">
        <v>754000</v>
      </c>
      <c r="AD58" s="195"/>
      <c r="AE58" s="195"/>
      <c r="AF58" s="195">
        <v>754000</v>
      </c>
      <c r="AG58" s="195"/>
      <c r="AH58" s="195">
        <v>754000</v>
      </c>
    </row>
    <row r="59" spans="1:34" ht="48" customHeight="1">
      <c r="A59" s="352"/>
      <c r="B59" s="165" t="s">
        <v>171</v>
      </c>
      <c r="C59" s="355"/>
      <c r="D59" s="345"/>
      <c r="E59" s="346"/>
      <c r="F59" s="356"/>
      <c r="G59" s="356"/>
      <c r="H59" s="348"/>
      <c r="I59" s="348"/>
      <c r="J59" s="348"/>
      <c r="K59" s="357"/>
      <c r="L59" s="349"/>
      <c r="M59" s="349"/>
      <c r="N59" s="349"/>
      <c r="O59" s="349"/>
      <c r="P59" s="349"/>
      <c r="Q59" s="350">
        <f t="shared" si="45"/>
        <v>37000</v>
      </c>
      <c r="R59" s="349"/>
      <c r="S59" s="350">
        <f t="shared" si="46"/>
        <v>37000</v>
      </c>
      <c r="T59" s="350">
        <f t="shared" si="47"/>
        <v>37000</v>
      </c>
      <c r="U59" s="350">
        <f t="shared" si="48"/>
        <v>37000</v>
      </c>
      <c r="V59" s="350">
        <f t="shared" si="49"/>
        <v>37000</v>
      </c>
      <c r="W59" s="351">
        <v>905</v>
      </c>
      <c r="X59" s="194"/>
      <c r="Y59" s="195">
        <v>37000</v>
      </c>
      <c r="Z59" s="194"/>
      <c r="AA59" s="194"/>
      <c r="AB59" s="195">
        <v>37000</v>
      </c>
      <c r="AC59" s="195">
        <v>37000</v>
      </c>
      <c r="AD59" s="195"/>
      <c r="AE59" s="195"/>
      <c r="AF59" s="195">
        <v>37000</v>
      </c>
      <c r="AG59" s="195"/>
      <c r="AH59" s="195">
        <v>37000</v>
      </c>
    </row>
    <row r="60" spans="1:34" ht="27.6" customHeight="1">
      <c r="A60" s="269"/>
      <c r="B60" s="30" t="s">
        <v>142</v>
      </c>
      <c r="C60" s="270"/>
      <c r="D60" s="271"/>
      <c r="E60" s="272"/>
      <c r="F60" s="82"/>
      <c r="G60" s="82"/>
      <c r="H60" s="263"/>
      <c r="I60" s="263"/>
      <c r="J60" s="263"/>
      <c r="K60" s="264"/>
      <c r="L60" s="83"/>
      <c r="M60" s="83"/>
      <c r="N60" s="83"/>
      <c r="O60" s="83"/>
      <c r="P60" s="83"/>
      <c r="Q60" s="81">
        <f t="shared" si="45"/>
        <v>1477000</v>
      </c>
      <c r="R60" s="83"/>
      <c r="S60" s="81">
        <f t="shared" si="46"/>
        <v>1495000</v>
      </c>
      <c r="T60" s="81">
        <f t="shared" si="47"/>
        <v>1495000</v>
      </c>
      <c r="U60" s="81">
        <f t="shared" si="48"/>
        <v>1495000</v>
      </c>
      <c r="V60" s="81">
        <f t="shared" si="49"/>
        <v>1495000</v>
      </c>
      <c r="W60" s="265">
        <v>902</v>
      </c>
      <c r="X60" s="194"/>
      <c r="Y60" s="195">
        <v>1477000</v>
      </c>
      <c r="Z60" s="194"/>
      <c r="AA60" s="194"/>
      <c r="AB60" s="195">
        <v>1495000</v>
      </c>
      <c r="AC60" s="195">
        <v>1495000</v>
      </c>
      <c r="AD60" s="195"/>
      <c r="AE60" s="195"/>
      <c r="AF60" s="195">
        <v>1495000</v>
      </c>
      <c r="AG60" s="195"/>
      <c r="AH60" s="195">
        <v>1495000</v>
      </c>
    </row>
    <row r="61" spans="1:34" ht="24" hidden="1" customHeight="1">
      <c r="A61" s="269"/>
      <c r="B61" s="165" t="s">
        <v>10</v>
      </c>
      <c r="C61" s="270">
        <v>1032</v>
      </c>
      <c r="D61" s="271"/>
      <c r="E61" s="272">
        <v>1032000</v>
      </c>
      <c r="F61" s="82">
        <f t="shared" ref="F61:F67" si="50">E61/1000</f>
        <v>1032</v>
      </c>
      <c r="G61" s="82">
        <f t="shared" ref="G61:G67" si="51">F61-C61</f>
        <v>0</v>
      </c>
      <c r="H61" s="263">
        <v>1037</v>
      </c>
      <c r="I61" s="263">
        <v>1037</v>
      </c>
      <c r="J61" s="263">
        <v>1076</v>
      </c>
      <c r="K61" s="264">
        <v>1054</v>
      </c>
      <c r="L61" s="83">
        <f t="shared" ref="L61:L67" si="52">X61+Y61</f>
        <v>0</v>
      </c>
      <c r="M61" s="83">
        <f t="shared" ref="M61:M67" si="53">L61-K61</f>
        <v>-1054</v>
      </c>
      <c r="N61" s="83">
        <v>1054</v>
      </c>
      <c r="O61" s="83"/>
      <c r="P61" s="83"/>
      <c r="Q61" s="81">
        <f t="shared" si="45"/>
        <v>0</v>
      </c>
      <c r="R61" s="83">
        <v>1186000</v>
      </c>
      <c r="S61" s="81">
        <f t="shared" si="46"/>
        <v>0</v>
      </c>
      <c r="T61" s="81">
        <f t="shared" si="47"/>
        <v>0</v>
      </c>
      <c r="U61" s="81">
        <f t="shared" si="48"/>
        <v>0</v>
      </c>
      <c r="V61" s="81">
        <f t="shared" si="49"/>
        <v>0</v>
      </c>
      <c r="W61" s="265">
        <v>902</v>
      </c>
      <c r="X61" s="194"/>
      <c r="Y61" s="195"/>
      <c r="Z61" s="194"/>
      <c r="AA61" s="194"/>
      <c r="AB61" s="195"/>
      <c r="AC61" s="195"/>
      <c r="AD61" s="194"/>
      <c r="AE61" s="194"/>
      <c r="AF61" s="195"/>
      <c r="AG61" s="195"/>
      <c r="AH61" s="195"/>
    </row>
    <row r="62" spans="1:34" ht="23.25" customHeight="1">
      <c r="A62" s="269"/>
      <c r="B62" s="165" t="s">
        <v>11</v>
      </c>
      <c r="C62" s="270">
        <v>542</v>
      </c>
      <c r="D62" s="271"/>
      <c r="E62" s="272">
        <v>542000</v>
      </c>
      <c r="F62" s="82">
        <f t="shared" si="50"/>
        <v>542</v>
      </c>
      <c r="G62" s="82">
        <f t="shared" si="51"/>
        <v>0</v>
      </c>
      <c r="H62" s="263">
        <v>542</v>
      </c>
      <c r="I62" s="263">
        <v>542</v>
      </c>
      <c r="J62" s="263">
        <v>564</v>
      </c>
      <c r="K62" s="264">
        <v>554</v>
      </c>
      <c r="L62" s="83">
        <f t="shared" si="52"/>
        <v>733000</v>
      </c>
      <c r="M62" s="83">
        <f t="shared" si="53"/>
        <v>732446</v>
      </c>
      <c r="N62" s="83">
        <v>554</v>
      </c>
      <c r="O62" s="83"/>
      <c r="P62" s="83"/>
      <c r="Q62" s="81">
        <f t="shared" si="45"/>
        <v>733000</v>
      </c>
      <c r="R62" s="83">
        <v>623000</v>
      </c>
      <c r="S62" s="81">
        <f t="shared" si="46"/>
        <v>733000</v>
      </c>
      <c r="T62" s="81">
        <f t="shared" si="47"/>
        <v>733000</v>
      </c>
      <c r="U62" s="81">
        <f t="shared" si="48"/>
        <v>733000</v>
      </c>
      <c r="V62" s="81">
        <f t="shared" si="49"/>
        <v>733000</v>
      </c>
      <c r="W62" s="265">
        <v>902</v>
      </c>
      <c r="X62" s="194"/>
      <c r="Y62" s="195">
        <v>733000</v>
      </c>
      <c r="Z62" s="194"/>
      <c r="AA62" s="194"/>
      <c r="AB62" s="195">
        <v>733000</v>
      </c>
      <c r="AC62" s="195">
        <v>733000</v>
      </c>
      <c r="AD62" s="194"/>
      <c r="AE62" s="194"/>
      <c r="AF62" s="195">
        <v>733000</v>
      </c>
      <c r="AG62" s="195"/>
      <c r="AH62" s="195">
        <v>733000</v>
      </c>
    </row>
    <row r="63" spans="1:34" ht="37.5" customHeight="1">
      <c r="A63" s="352"/>
      <c r="B63" s="165" t="s">
        <v>12</v>
      </c>
      <c r="C63" s="355">
        <v>762</v>
      </c>
      <c r="D63" s="345"/>
      <c r="E63" s="346">
        <v>762000</v>
      </c>
      <c r="F63" s="356">
        <f t="shared" si="50"/>
        <v>762</v>
      </c>
      <c r="G63" s="356">
        <f t="shared" si="51"/>
        <v>0</v>
      </c>
      <c r="H63" s="348">
        <v>778</v>
      </c>
      <c r="I63" s="348">
        <v>778</v>
      </c>
      <c r="J63" s="348">
        <v>778</v>
      </c>
      <c r="K63" s="357">
        <v>795</v>
      </c>
      <c r="L63" s="349">
        <f t="shared" si="52"/>
        <v>1766000</v>
      </c>
      <c r="M63" s="349">
        <f t="shared" si="53"/>
        <v>1765205</v>
      </c>
      <c r="N63" s="349">
        <v>795</v>
      </c>
      <c r="O63" s="349"/>
      <c r="P63" s="349"/>
      <c r="Q63" s="350">
        <f t="shared" si="45"/>
        <v>1766000</v>
      </c>
      <c r="R63" s="349">
        <v>1160000</v>
      </c>
      <c r="S63" s="350">
        <f t="shared" si="46"/>
        <v>1373000</v>
      </c>
      <c r="T63" s="350">
        <f t="shared" si="47"/>
        <v>2223000</v>
      </c>
      <c r="U63" s="350">
        <f t="shared" si="48"/>
        <v>2223000</v>
      </c>
      <c r="V63" s="350">
        <f t="shared" si="49"/>
        <v>2223000</v>
      </c>
      <c r="W63" s="351">
        <v>905</v>
      </c>
      <c r="X63" s="194"/>
      <c r="Y63" s="195">
        <f>1373000+393000</f>
        <v>1766000</v>
      </c>
      <c r="Z63" s="194"/>
      <c r="AA63" s="194"/>
      <c r="AB63" s="195">
        <v>1373000</v>
      </c>
      <c r="AC63" s="195">
        <v>2223000</v>
      </c>
      <c r="AD63" s="194"/>
      <c r="AE63" s="194"/>
      <c r="AF63" s="195">
        <v>2223000</v>
      </c>
      <c r="AG63" s="195"/>
      <c r="AH63" s="195">
        <v>2223000</v>
      </c>
    </row>
    <row r="64" spans="1:34" ht="33" customHeight="1">
      <c r="A64" s="352"/>
      <c r="B64" s="165" t="s">
        <v>173</v>
      </c>
      <c r="C64" s="355">
        <v>442</v>
      </c>
      <c r="D64" s="345"/>
      <c r="E64" s="346">
        <v>442000</v>
      </c>
      <c r="F64" s="356">
        <f t="shared" si="50"/>
        <v>442</v>
      </c>
      <c r="G64" s="356">
        <f t="shared" si="51"/>
        <v>0</v>
      </c>
      <c r="H64" s="348">
        <v>508</v>
      </c>
      <c r="I64" s="348">
        <v>518</v>
      </c>
      <c r="J64" s="348">
        <v>508</v>
      </c>
      <c r="K64" s="357">
        <v>1786</v>
      </c>
      <c r="L64" s="349">
        <f t="shared" si="52"/>
        <v>8164000</v>
      </c>
      <c r="M64" s="349">
        <f t="shared" si="53"/>
        <v>8162214</v>
      </c>
      <c r="N64" s="349">
        <v>1854</v>
      </c>
      <c r="O64" s="349"/>
      <c r="P64" s="349"/>
      <c r="Q64" s="350">
        <f t="shared" si="45"/>
        <v>8164000</v>
      </c>
      <c r="R64" s="349">
        <v>1956000</v>
      </c>
      <c r="S64" s="350">
        <f t="shared" si="46"/>
        <v>8515000</v>
      </c>
      <c r="T64" s="350">
        <f t="shared" si="47"/>
        <v>8100000</v>
      </c>
      <c r="U64" s="350">
        <f t="shared" si="48"/>
        <v>8387000</v>
      </c>
      <c r="V64" s="350">
        <f t="shared" si="49"/>
        <v>8686000</v>
      </c>
      <c r="W64" s="351">
        <v>905</v>
      </c>
      <c r="X64" s="194"/>
      <c r="Y64" s="195">
        <v>8164000</v>
      </c>
      <c r="Z64" s="194"/>
      <c r="AA64" s="194"/>
      <c r="AB64" s="195">
        <v>8515000</v>
      </c>
      <c r="AC64" s="195">
        <v>8100000</v>
      </c>
      <c r="AD64" s="194"/>
      <c r="AE64" s="194"/>
      <c r="AF64" s="195">
        <v>8387000</v>
      </c>
      <c r="AG64" s="195"/>
      <c r="AH64" s="195">
        <v>8686000</v>
      </c>
    </row>
    <row r="65" spans="1:38" ht="39" customHeight="1">
      <c r="A65" s="300" t="s">
        <v>45</v>
      </c>
      <c r="B65" s="165" t="s">
        <v>196</v>
      </c>
      <c r="C65" s="303">
        <v>25623</v>
      </c>
      <c r="D65" s="304"/>
      <c r="E65" s="305">
        <v>25623000</v>
      </c>
      <c r="F65" s="294">
        <f t="shared" si="50"/>
        <v>25623</v>
      </c>
      <c r="G65" s="294">
        <f t="shared" si="51"/>
        <v>0</v>
      </c>
      <c r="H65" s="295">
        <v>24886</v>
      </c>
      <c r="I65" s="295">
        <v>24886</v>
      </c>
      <c r="J65" s="295">
        <v>25882</v>
      </c>
      <c r="K65" s="296">
        <v>27714</v>
      </c>
      <c r="L65" s="297">
        <f t="shared" si="52"/>
        <v>31556000</v>
      </c>
      <c r="M65" s="297">
        <f t="shared" si="53"/>
        <v>31528286</v>
      </c>
      <c r="N65" s="297">
        <v>27714</v>
      </c>
      <c r="O65" s="297"/>
      <c r="P65" s="297"/>
      <c r="Q65" s="293">
        <f t="shared" si="45"/>
        <v>31556000</v>
      </c>
      <c r="R65" s="297">
        <v>28143000</v>
      </c>
      <c r="S65" s="293">
        <f t="shared" si="46"/>
        <v>31556000</v>
      </c>
      <c r="T65" s="293">
        <f t="shared" si="47"/>
        <v>34589000</v>
      </c>
      <c r="U65" s="293">
        <f t="shared" si="48"/>
        <v>34589000</v>
      </c>
      <c r="V65" s="293">
        <f t="shared" si="49"/>
        <v>34589000</v>
      </c>
      <c r="W65" s="298">
        <v>906</v>
      </c>
      <c r="X65" s="194"/>
      <c r="Y65" s="195">
        <v>31556000</v>
      </c>
      <c r="Z65" s="194"/>
      <c r="AA65" s="194"/>
      <c r="AB65" s="195">
        <v>31556000</v>
      </c>
      <c r="AC65" s="195">
        <v>34589000</v>
      </c>
      <c r="AD65" s="194"/>
      <c r="AE65" s="194"/>
      <c r="AF65" s="195">
        <v>34589000</v>
      </c>
      <c r="AG65" s="195"/>
      <c r="AH65" s="195">
        <v>34589000</v>
      </c>
    </row>
    <row r="66" spans="1:38" ht="53.25" customHeight="1">
      <c r="A66" s="300" t="s">
        <v>46</v>
      </c>
      <c r="B66" s="165" t="s">
        <v>14</v>
      </c>
      <c r="C66" s="303">
        <v>3449</v>
      </c>
      <c r="D66" s="304"/>
      <c r="E66" s="305">
        <v>3449000</v>
      </c>
      <c r="F66" s="294">
        <f t="shared" si="50"/>
        <v>3449</v>
      </c>
      <c r="G66" s="294">
        <f t="shared" si="51"/>
        <v>0</v>
      </c>
      <c r="H66" s="295">
        <v>3673</v>
      </c>
      <c r="I66" s="295">
        <v>3673</v>
      </c>
      <c r="J66" s="295">
        <v>3673</v>
      </c>
      <c r="K66" s="296">
        <v>2329</v>
      </c>
      <c r="L66" s="297">
        <f t="shared" si="52"/>
        <v>4048000</v>
      </c>
      <c r="M66" s="297">
        <f t="shared" si="53"/>
        <v>4045671</v>
      </c>
      <c r="N66" s="297">
        <v>2329</v>
      </c>
      <c r="O66" s="297"/>
      <c r="P66" s="297"/>
      <c r="Q66" s="293">
        <f t="shared" si="45"/>
        <v>4048000</v>
      </c>
      <c r="R66" s="297">
        <v>5387000</v>
      </c>
      <c r="S66" s="293">
        <f t="shared" si="46"/>
        <v>4048000</v>
      </c>
      <c r="T66" s="293">
        <f t="shared" si="47"/>
        <v>2442000</v>
      </c>
      <c r="U66" s="293">
        <f t="shared" si="48"/>
        <v>2442000</v>
      </c>
      <c r="V66" s="293">
        <f t="shared" si="49"/>
        <v>2442000</v>
      </c>
      <c r="W66" s="298">
        <v>906</v>
      </c>
      <c r="X66" s="194"/>
      <c r="Y66" s="195">
        <v>4048000</v>
      </c>
      <c r="Z66" s="194"/>
      <c r="AA66" s="194"/>
      <c r="AB66" s="195">
        <v>4048000</v>
      </c>
      <c r="AC66" s="195">
        <v>2442000</v>
      </c>
      <c r="AD66" s="194"/>
      <c r="AE66" s="194"/>
      <c r="AF66" s="195">
        <v>2442000</v>
      </c>
      <c r="AG66" s="195"/>
      <c r="AH66" s="195">
        <v>2442000</v>
      </c>
    </row>
    <row r="67" spans="1:38" ht="40.5" customHeight="1">
      <c r="A67" s="276" t="s">
        <v>47</v>
      </c>
      <c r="B67" s="165" t="s">
        <v>226</v>
      </c>
      <c r="C67" s="285">
        <v>5821</v>
      </c>
      <c r="D67" s="286"/>
      <c r="E67" s="287">
        <v>5820994</v>
      </c>
      <c r="F67" s="280">
        <f t="shared" si="50"/>
        <v>5820.9939999999997</v>
      </c>
      <c r="G67" s="280">
        <f t="shared" si="51"/>
        <v>-6.0000000003128662E-3</v>
      </c>
      <c r="H67" s="281">
        <v>3104</v>
      </c>
      <c r="I67" s="281">
        <f>3104+2580</f>
        <v>5684</v>
      </c>
      <c r="J67" s="281">
        <v>3954</v>
      </c>
      <c r="K67" s="282">
        <v>5031</v>
      </c>
      <c r="L67" s="283">
        <f t="shared" si="52"/>
        <v>15914522</v>
      </c>
      <c r="M67" s="283">
        <f t="shared" si="53"/>
        <v>15909491</v>
      </c>
      <c r="N67" s="283">
        <v>4385</v>
      </c>
      <c r="O67" s="283"/>
      <c r="P67" s="283"/>
      <c r="Q67" s="279">
        <f t="shared" si="45"/>
        <v>15914522</v>
      </c>
      <c r="R67" s="283">
        <v>19253400</v>
      </c>
      <c r="S67" s="279">
        <f t="shared" si="46"/>
        <v>60930701</v>
      </c>
      <c r="T67" s="279">
        <f t="shared" si="47"/>
        <v>19444800</v>
      </c>
      <c r="U67" s="279">
        <f t="shared" si="48"/>
        <v>19523600</v>
      </c>
      <c r="V67" s="279">
        <f t="shared" si="49"/>
        <v>19605400</v>
      </c>
      <c r="W67" s="284">
        <v>904</v>
      </c>
      <c r="X67" s="194">
        <v>3710522</v>
      </c>
      <c r="Y67" s="195">
        <v>12204000</v>
      </c>
      <c r="Z67" s="194">
        <v>14205701</v>
      </c>
      <c r="AA67" s="194">
        <v>4732800</v>
      </c>
      <c r="AB67" s="195">
        <v>46725000</v>
      </c>
      <c r="AC67" s="195">
        <v>14712000</v>
      </c>
      <c r="AD67" s="194">
        <v>14882914</v>
      </c>
      <c r="AE67" s="194">
        <v>4811600</v>
      </c>
      <c r="AF67" s="195">
        <v>14712000</v>
      </c>
      <c r="AG67" s="195">
        <v>4893400</v>
      </c>
      <c r="AH67" s="195">
        <v>14712000</v>
      </c>
    </row>
    <row r="68" spans="1:38" ht="38.450000000000003" customHeight="1">
      <c r="A68" s="273" t="s">
        <v>160</v>
      </c>
      <c r="B68" s="165" t="s">
        <v>161</v>
      </c>
      <c r="C68" s="270"/>
      <c r="D68" s="271"/>
      <c r="E68" s="272"/>
      <c r="F68" s="82"/>
      <c r="G68" s="82"/>
      <c r="H68" s="263"/>
      <c r="I68" s="263"/>
      <c r="J68" s="263"/>
      <c r="K68" s="264"/>
      <c r="L68" s="83"/>
      <c r="M68" s="83"/>
      <c r="N68" s="83"/>
      <c r="O68" s="83"/>
      <c r="P68" s="83"/>
      <c r="Q68" s="81">
        <f t="shared" si="45"/>
        <v>4100</v>
      </c>
      <c r="R68" s="83">
        <v>101000</v>
      </c>
      <c r="S68" s="81">
        <f t="shared" si="46"/>
        <v>4300</v>
      </c>
      <c r="T68" s="81">
        <f t="shared" si="47"/>
        <v>14400</v>
      </c>
      <c r="U68" s="81">
        <f t="shared" si="48"/>
        <v>242900</v>
      </c>
      <c r="V68" s="81">
        <f t="shared" si="49"/>
        <v>14100</v>
      </c>
      <c r="W68" s="265">
        <v>902</v>
      </c>
      <c r="X68" s="194">
        <v>4100</v>
      </c>
      <c r="Y68" s="195"/>
      <c r="Z68" s="194">
        <v>4300</v>
      </c>
      <c r="AA68" s="194">
        <v>14400</v>
      </c>
      <c r="AB68" s="195"/>
      <c r="AC68" s="195"/>
      <c r="AD68" s="194">
        <v>3900</v>
      </c>
      <c r="AE68" s="195">
        <v>242900</v>
      </c>
      <c r="AF68" s="195"/>
      <c r="AG68" s="195">
        <v>14100</v>
      </c>
      <c r="AH68" s="195"/>
    </row>
    <row r="69" spans="1:38" ht="23.45" customHeight="1">
      <c r="A69" s="332" t="s">
        <v>48</v>
      </c>
      <c r="B69" s="165" t="s">
        <v>16</v>
      </c>
      <c r="C69" s="333">
        <v>145</v>
      </c>
      <c r="D69" s="334"/>
      <c r="E69" s="335">
        <v>145000</v>
      </c>
      <c r="F69" s="326">
        <f>E69/1000</f>
        <v>145</v>
      </c>
      <c r="G69" s="326">
        <f>F69-C69</f>
        <v>0</v>
      </c>
      <c r="H69" s="327">
        <v>110</v>
      </c>
      <c r="I69" s="327">
        <v>110</v>
      </c>
      <c r="J69" s="327">
        <v>110</v>
      </c>
      <c r="K69" s="328">
        <v>111</v>
      </c>
      <c r="L69" s="329">
        <f>X69+Y69</f>
        <v>92000</v>
      </c>
      <c r="M69" s="329">
        <f>L69-K69</f>
        <v>91889</v>
      </c>
      <c r="N69" s="329">
        <v>111</v>
      </c>
      <c r="O69" s="329"/>
      <c r="P69" s="329"/>
      <c r="Q69" s="325">
        <f t="shared" si="45"/>
        <v>92000</v>
      </c>
      <c r="R69" s="329">
        <v>0</v>
      </c>
      <c r="S69" s="325">
        <f t="shared" si="46"/>
        <v>92000</v>
      </c>
      <c r="T69" s="325">
        <f t="shared" si="47"/>
        <v>94000</v>
      </c>
      <c r="U69" s="325">
        <f t="shared" si="48"/>
        <v>94000</v>
      </c>
      <c r="V69" s="325">
        <f t="shared" si="49"/>
        <v>94000</v>
      </c>
      <c r="W69" s="330">
        <v>907</v>
      </c>
      <c r="X69" s="194"/>
      <c r="Y69" s="195">
        <v>92000</v>
      </c>
      <c r="Z69" s="194"/>
      <c r="AA69" s="194"/>
      <c r="AB69" s="195">
        <v>92000</v>
      </c>
      <c r="AC69" s="195">
        <v>94000</v>
      </c>
      <c r="AD69" s="194"/>
      <c r="AE69" s="194"/>
      <c r="AF69" s="195">
        <v>94000</v>
      </c>
      <c r="AG69" s="195"/>
      <c r="AH69" s="195">
        <v>94000</v>
      </c>
    </row>
    <row r="70" spans="1:38" ht="24.75" hidden="1">
      <c r="A70" s="126" t="s">
        <v>65</v>
      </c>
      <c r="B70" s="127" t="s">
        <v>87</v>
      </c>
      <c r="C70" s="123"/>
      <c r="D70" s="123"/>
      <c r="E70" s="124"/>
      <c r="F70" s="116">
        <f>E70/1000</f>
        <v>0</v>
      </c>
      <c r="G70" s="116">
        <f>F70-C70</f>
        <v>0</v>
      </c>
      <c r="H70" s="114"/>
      <c r="I70" s="114">
        <v>962</v>
      </c>
      <c r="J70" s="114"/>
      <c r="K70" s="131">
        <v>0</v>
      </c>
      <c r="L70" s="195">
        <f>X70+Y70</f>
        <v>0</v>
      </c>
      <c r="M70" s="195">
        <f>L70-K70</f>
        <v>0</v>
      </c>
      <c r="N70" s="195">
        <v>0</v>
      </c>
      <c r="O70" s="195"/>
      <c r="P70" s="195"/>
      <c r="Q70" s="25">
        <f t="shared" si="45"/>
        <v>0</v>
      </c>
      <c r="R70" s="195">
        <v>37303000</v>
      </c>
      <c r="S70" s="25">
        <f>Z70+AB70</f>
        <v>0</v>
      </c>
      <c r="T70" s="195"/>
      <c r="U70" s="25"/>
      <c r="V70" s="25"/>
      <c r="W70" s="202" t="s">
        <v>61</v>
      </c>
      <c r="X70" s="194"/>
      <c r="Y70" s="195"/>
      <c r="Z70" s="194"/>
      <c r="AA70" s="194"/>
      <c r="AB70" s="195"/>
      <c r="AC70" s="195"/>
      <c r="AD70" s="194"/>
      <c r="AE70" s="194"/>
      <c r="AF70" s="195"/>
      <c r="AG70" s="195"/>
      <c r="AH70" s="195"/>
      <c r="AI70" s="116"/>
    </row>
    <row r="71" spans="1:38" ht="16.5" customHeight="1">
      <c r="A71" s="209" t="s">
        <v>128</v>
      </c>
      <c r="B71" s="139" t="s">
        <v>127</v>
      </c>
      <c r="C71" s="224"/>
      <c r="D71" s="224"/>
      <c r="E71" s="225"/>
      <c r="F71" s="223"/>
      <c r="G71" s="223"/>
      <c r="H71" s="226"/>
      <c r="I71" s="226"/>
      <c r="J71" s="226"/>
      <c r="K71" s="227"/>
      <c r="L71" s="219">
        <f>X71+Y71</f>
        <v>39812696.810000002</v>
      </c>
      <c r="M71" s="228"/>
      <c r="N71" s="228"/>
      <c r="O71" s="228"/>
      <c r="P71" s="228"/>
      <c r="Q71" s="24">
        <f>SUM(Q73:Q75)</f>
        <v>39812696.810000002</v>
      </c>
      <c r="R71" s="24">
        <f>SUM(R73:R75)</f>
        <v>0</v>
      </c>
      <c r="S71" s="24">
        <f>SUM(S73:S75)</f>
        <v>39000000</v>
      </c>
      <c r="T71" s="24">
        <f>SUM(T72:T76)</f>
        <v>76036960</v>
      </c>
      <c r="U71" s="24">
        <f t="shared" ref="U71:AH71" si="54">SUM(U72:U76)</f>
        <v>75911952</v>
      </c>
      <c r="V71" s="24">
        <f t="shared" si="54"/>
        <v>75661952</v>
      </c>
      <c r="W71" s="24"/>
      <c r="X71" s="24">
        <f t="shared" si="54"/>
        <v>39454069.840000004</v>
      </c>
      <c r="Y71" s="24">
        <f t="shared" si="54"/>
        <v>358626.97</v>
      </c>
      <c r="Z71" s="24">
        <f t="shared" si="54"/>
        <v>39000000</v>
      </c>
      <c r="AA71" s="24">
        <f t="shared" si="54"/>
        <v>76036960</v>
      </c>
      <c r="AB71" s="24">
        <f t="shared" si="54"/>
        <v>0</v>
      </c>
      <c r="AC71" s="24">
        <f t="shared" si="54"/>
        <v>0</v>
      </c>
      <c r="AD71" s="24">
        <f t="shared" si="54"/>
        <v>39000000</v>
      </c>
      <c r="AE71" s="24">
        <f t="shared" si="54"/>
        <v>75911952</v>
      </c>
      <c r="AF71" s="24">
        <f t="shared" si="54"/>
        <v>0</v>
      </c>
      <c r="AG71" s="24">
        <f t="shared" si="54"/>
        <v>75661952</v>
      </c>
      <c r="AH71" s="24">
        <f t="shared" si="54"/>
        <v>0</v>
      </c>
      <c r="AI71" s="116"/>
    </row>
    <row r="72" spans="1:38" ht="98.25" customHeight="1">
      <c r="A72" s="368" t="s">
        <v>203</v>
      </c>
      <c r="B72" s="120" t="s">
        <v>204</v>
      </c>
      <c r="C72" s="369"/>
      <c r="D72" s="369"/>
      <c r="E72" s="370"/>
      <c r="F72" s="371"/>
      <c r="G72" s="371"/>
      <c r="H72" s="372"/>
      <c r="I72" s="372"/>
      <c r="J72" s="372"/>
      <c r="K72" s="373"/>
      <c r="L72" s="374"/>
      <c r="M72" s="375"/>
      <c r="N72" s="375"/>
      <c r="O72" s="375"/>
      <c r="P72" s="375"/>
      <c r="Q72" s="376"/>
      <c r="R72" s="376"/>
      <c r="S72" s="376"/>
      <c r="T72" s="293">
        <f t="shared" ref="T72" si="55">AA72+AC72</f>
        <v>624960</v>
      </c>
      <c r="U72" s="293">
        <f>AE72+AF72</f>
        <v>749952</v>
      </c>
      <c r="V72" s="293">
        <f>AG72+AH72</f>
        <v>749952</v>
      </c>
      <c r="W72" s="377">
        <v>906</v>
      </c>
      <c r="X72" s="367"/>
      <c r="Y72" s="24"/>
      <c r="Z72" s="367"/>
      <c r="AA72" s="378">
        <v>624960</v>
      </c>
      <c r="AB72" s="24"/>
      <c r="AC72" s="24"/>
      <c r="AD72" s="367"/>
      <c r="AE72" s="378">
        <v>749952</v>
      </c>
      <c r="AF72" s="25"/>
      <c r="AG72" s="25">
        <v>749952</v>
      </c>
      <c r="AH72" s="24"/>
      <c r="AI72" s="116"/>
    </row>
    <row r="73" spans="1:38" ht="77.25" customHeight="1">
      <c r="A73" s="306" t="s">
        <v>114</v>
      </c>
      <c r="B73" s="120" t="s">
        <v>197</v>
      </c>
      <c r="C73" s="304"/>
      <c r="D73" s="304"/>
      <c r="E73" s="305"/>
      <c r="F73" s="294"/>
      <c r="G73" s="294"/>
      <c r="H73" s="295"/>
      <c r="I73" s="295"/>
      <c r="J73" s="295"/>
      <c r="K73" s="296"/>
      <c r="L73" s="297">
        <f>X73+Y73</f>
        <v>38600000</v>
      </c>
      <c r="M73" s="307"/>
      <c r="N73" s="307"/>
      <c r="O73" s="307"/>
      <c r="P73" s="307"/>
      <c r="Q73" s="293">
        <f>X73+Y73</f>
        <v>38600000</v>
      </c>
      <c r="R73" s="297"/>
      <c r="S73" s="293">
        <f t="shared" ref="S73:T75" si="56">Z73+AB73</f>
        <v>39000000</v>
      </c>
      <c r="T73" s="293">
        <f t="shared" si="56"/>
        <v>75412000</v>
      </c>
      <c r="U73" s="293">
        <f>AE73+AF73</f>
        <v>75162000</v>
      </c>
      <c r="V73" s="293">
        <f>AG73+AH73</f>
        <v>74912000</v>
      </c>
      <c r="W73" s="298">
        <v>906</v>
      </c>
      <c r="X73" s="198">
        <v>38600000</v>
      </c>
      <c r="Y73" s="195"/>
      <c r="Z73" s="198">
        <v>39000000</v>
      </c>
      <c r="AA73" s="198">
        <v>75412000</v>
      </c>
      <c r="AB73" s="195"/>
      <c r="AC73" s="195"/>
      <c r="AD73" s="198">
        <v>39000000</v>
      </c>
      <c r="AE73" s="198">
        <v>75162000</v>
      </c>
      <c r="AF73" s="195"/>
      <c r="AG73" s="195">
        <v>74912000</v>
      </c>
      <c r="AH73" s="195"/>
      <c r="AI73" s="116"/>
      <c r="AJ73" s="116"/>
    </row>
    <row r="74" spans="1:38" ht="52.9" hidden="1" customHeight="1">
      <c r="A74" s="308" t="s">
        <v>178</v>
      </c>
      <c r="B74" s="232" t="s">
        <v>179</v>
      </c>
      <c r="C74" s="309"/>
      <c r="D74" s="309"/>
      <c r="E74" s="310"/>
      <c r="F74" s="294">
        <f>E74/1000</f>
        <v>0</v>
      </c>
      <c r="G74" s="294">
        <f>F74-C74</f>
        <v>0</v>
      </c>
      <c r="H74" s="311"/>
      <c r="I74" s="311"/>
      <c r="J74" s="311"/>
      <c r="K74" s="311">
        <v>1000</v>
      </c>
      <c r="L74" s="312">
        <f>X74+Y74</f>
        <v>862696.80999999994</v>
      </c>
      <c r="M74" s="312">
        <f>L74-K74</f>
        <v>861696.80999999994</v>
      </c>
      <c r="N74" s="312">
        <v>0</v>
      </c>
      <c r="O74" s="312"/>
      <c r="P74" s="312"/>
      <c r="Q74" s="293">
        <f>X74+Y74</f>
        <v>862696.80999999994</v>
      </c>
      <c r="R74" s="312"/>
      <c r="S74" s="313">
        <f t="shared" si="56"/>
        <v>0</v>
      </c>
      <c r="T74" s="293">
        <f t="shared" si="56"/>
        <v>0</v>
      </c>
      <c r="U74" s="293">
        <f>AE74+AF74</f>
        <v>0</v>
      </c>
      <c r="V74" s="293">
        <f>AG74+AH74</f>
        <v>0</v>
      </c>
      <c r="W74" s="314">
        <v>906</v>
      </c>
      <c r="X74" s="240">
        <v>854069.84</v>
      </c>
      <c r="Y74" s="240">
        <v>8626.9699999999993</v>
      </c>
      <c r="Z74" s="240"/>
      <c r="AA74" s="240"/>
      <c r="AB74" s="240"/>
      <c r="AC74" s="240"/>
      <c r="AD74" s="240"/>
      <c r="AE74" s="240"/>
      <c r="AF74" s="240"/>
      <c r="AG74" s="240"/>
      <c r="AH74" s="240"/>
      <c r="AI74" s="116"/>
    </row>
    <row r="75" spans="1:38" ht="24" hidden="1">
      <c r="A75" s="269" t="s">
        <v>49</v>
      </c>
      <c r="B75" s="268" t="s">
        <v>18</v>
      </c>
      <c r="C75" s="271">
        <f>180+360</f>
        <v>540</v>
      </c>
      <c r="D75" s="271">
        <v>360</v>
      </c>
      <c r="E75" s="272">
        <f>180000+360000</f>
        <v>540000</v>
      </c>
      <c r="F75" s="84">
        <f>E75/1000</f>
        <v>540</v>
      </c>
      <c r="G75" s="84">
        <f>F75-C75</f>
        <v>0</v>
      </c>
      <c r="H75" s="263"/>
      <c r="I75" s="263"/>
      <c r="J75" s="263"/>
      <c r="K75" s="263"/>
      <c r="L75" s="83"/>
      <c r="M75" s="83"/>
      <c r="N75" s="83"/>
      <c r="O75" s="83"/>
      <c r="P75" s="83"/>
      <c r="Q75" s="81">
        <f>X75+Y75</f>
        <v>350000</v>
      </c>
      <c r="R75" s="83"/>
      <c r="S75" s="81">
        <f t="shared" si="56"/>
        <v>0</v>
      </c>
      <c r="T75" s="81">
        <f t="shared" si="56"/>
        <v>0</v>
      </c>
      <c r="U75" s="81">
        <f>AE75+AF75</f>
        <v>0</v>
      </c>
      <c r="V75" s="81">
        <f>AG75+AH75</f>
        <v>0</v>
      </c>
      <c r="W75" s="265">
        <v>902</v>
      </c>
      <c r="X75" s="194"/>
      <c r="Y75" s="194">
        <v>350000</v>
      </c>
      <c r="Z75" s="194"/>
      <c r="AA75" s="194"/>
      <c r="AB75" s="194"/>
      <c r="AC75" s="194"/>
      <c r="AD75" s="194"/>
      <c r="AE75" s="194"/>
      <c r="AF75" s="194"/>
      <c r="AG75" s="194"/>
      <c r="AH75" s="194"/>
      <c r="AI75" s="116"/>
    </row>
    <row r="76" spans="1:38" ht="24" hidden="1">
      <c r="A76" s="352" t="s">
        <v>49</v>
      </c>
      <c r="B76" s="353" t="s">
        <v>18</v>
      </c>
      <c r="C76" s="345"/>
      <c r="D76" s="345"/>
      <c r="E76" s="346"/>
      <c r="F76" s="347"/>
      <c r="G76" s="347"/>
      <c r="H76" s="348"/>
      <c r="I76" s="348"/>
      <c r="J76" s="348"/>
      <c r="K76" s="348"/>
      <c r="L76" s="349"/>
      <c r="M76" s="349"/>
      <c r="N76" s="349"/>
      <c r="O76" s="349"/>
      <c r="P76" s="349"/>
      <c r="Q76" s="350"/>
      <c r="R76" s="349"/>
      <c r="S76" s="350"/>
      <c r="T76" s="350">
        <f>AA76+AC76</f>
        <v>0</v>
      </c>
      <c r="U76" s="350">
        <f>AE76+AF76</f>
        <v>0</v>
      </c>
      <c r="V76" s="350">
        <f>AG76+AH76</f>
        <v>0</v>
      </c>
      <c r="W76" s="351">
        <v>905</v>
      </c>
      <c r="X76" s="194"/>
      <c r="Y76" s="194"/>
      <c r="Z76" s="194"/>
      <c r="AA76" s="194"/>
      <c r="AB76" s="194"/>
      <c r="AC76" s="194"/>
      <c r="AD76" s="194"/>
      <c r="AE76" s="194"/>
      <c r="AF76" s="194"/>
      <c r="AG76" s="194"/>
      <c r="AH76" s="194"/>
      <c r="AI76" s="116"/>
    </row>
    <row r="77" spans="1:38" ht="25.5" hidden="1">
      <c r="A77" s="229" t="s">
        <v>55</v>
      </c>
      <c r="B77" s="230" t="s">
        <v>56</v>
      </c>
      <c r="C77" s="224"/>
      <c r="D77" s="224"/>
      <c r="E77" s="225"/>
      <c r="F77" s="201"/>
      <c r="G77" s="201"/>
      <c r="H77" s="226"/>
      <c r="I77" s="226"/>
      <c r="J77" s="226"/>
      <c r="K77" s="226"/>
      <c r="L77" s="219"/>
      <c r="M77" s="219"/>
      <c r="N77" s="219"/>
      <c r="O77" s="219"/>
      <c r="P77" s="219"/>
      <c r="Q77" s="24">
        <f>SUM(Q78:Q81)</f>
        <v>55335375.75</v>
      </c>
      <c r="R77" s="24">
        <f>SUM(R78:R81)</f>
        <v>0</v>
      </c>
      <c r="S77" s="24">
        <f>SUM(S78:S81)</f>
        <v>0</v>
      </c>
      <c r="T77" s="24">
        <f>SUM(T78:T81)</f>
        <v>0</v>
      </c>
      <c r="U77" s="24"/>
      <c r="V77" s="24"/>
      <c r="W77" s="24"/>
      <c r="X77" s="24">
        <f t="shared" ref="X77:AH77" si="57">SUM(X78:X81)</f>
        <v>0</v>
      </c>
      <c r="Y77" s="24">
        <f t="shared" si="57"/>
        <v>0</v>
      </c>
      <c r="Z77" s="24">
        <f t="shared" si="57"/>
        <v>0</v>
      </c>
      <c r="AA77" s="24">
        <f t="shared" si="57"/>
        <v>0</v>
      </c>
      <c r="AB77" s="24">
        <f t="shared" si="57"/>
        <v>0</v>
      </c>
      <c r="AC77" s="24">
        <f t="shared" si="57"/>
        <v>0</v>
      </c>
      <c r="AD77" s="24">
        <f t="shared" si="57"/>
        <v>0</v>
      </c>
      <c r="AE77" s="24">
        <f t="shared" si="57"/>
        <v>0</v>
      </c>
      <c r="AF77" s="24">
        <f t="shared" si="57"/>
        <v>0</v>
      </c>
      <c r="AG77" s="24">
        <f t="shared" si="57"/>
        <v>0</v>
      </c>
      <c r="AH77" s="24">
        <f t="shared" si="57"/>
        <v>0</v>
      </c>
      <c r="AI77" s="116"/>
    </row>
    <row r="78" spans="1:38" hidden="1">
      <c r="A78" s="343" t="s">
        <v>55</v>
      </c>
      <c r="B78" s="344" t="s">
        <v>56</v>
      </c>
      <c r="C78" s="345"/>
      <c r="D78" s="345"/>
      <c r="E78" s="346"/>
      <c r="F78" s="347"/>
      <c r="G78" s="347"/>
      <c r="H78" s="348"/>
      <c r="I78" s="348"/>
      <c r="J78" s="348"/>
      <c r="K78" s="348"/>
      <c r="L78" s="349"/>
      <c r="M78" s="349"/>
      <c r="N78" s="349"/>
      <c r="O78" s="349"/>
      <c r="P78" s="349"/>
      <c r="Q78" s="350">
        <f>7334375.75+1000</f>
        <v>7335375.75</v>
      </c>
      <c r="R78" s="349"/>
      <c r="S78" s="350"/>
      <c r="T78" s="349"/>
      <c r="U78" s="350"/>
      <c r="V78" s="350"/>
      <c r="W78" s="351">
        <v>905</v>
      </c>
      <c r="X78" s="194"/>
      <c r="Y78" s="194"/>
      <c r="Z78" s="194"/>
      <c r="AA78" s="194"/>
      <c r="AB78" s="194"/>
      <c r="AC78" s="194"/>
      <c r="AD78" s="194"/>
      <c r="AE78" s="194"/>
      <c r="AF78" s="194"/>
      <c r="AG78" s="194"/>
      <c r="AH78" s="194"/>
      <c r="AI78" s="116"/>
      <c r="AJ78" s="116"/>
      <c r="AK78" s="116"/>
      <c r="AL78" s="116"/>
    </row>
    <row r="79" spans="1:38" hidden="1">
      <c r="A79" s="290" t="s">
        <v>55</v>
      </c>
      <c r="B79" s="315" t="s">
        <v>56</v>
      </c>
      <c r="C79" s="316">
        <f>3208.7+534.9</f>
        <v>3743.6</v>
      </c>
      <c r="D79" s="317"/>
      <c r="E79" s="318">
        <f>3208759+534875</f>
        <v>3743634</v>
      </c>
      <c r="F79" s="319">
        <f>E79/1000</f>
        <v>3743.634</v>
      </c>
      <c r="G79" s="319">
        <f>F79-C79</f>
        <v>3.4000000000105501E-2</v>
      </c>
      <c r="H79" s="295"/>
      <c r="I79" s="295"/>
      <c r="J79" s="295"/>
      <c r="K79" s="295"/>
      <c r="L79" s="297">
        <v>124000</v>
      </c>
      <c r="M79" s="297"/>
      <c r="N79" s="297"/>
      <c r="O79" s="297"/>
      <c r="P79" s="297"/>
      <c r="Q79" s="297">
        <v>24000000</v>
      </c>
      <c r="R79" s="297"/>
      <c r="S79" s="293">
        <f>Z79+AB79</f>
        <v>0</v>
      </c>
      <c r="T79" s="297"/>
      <c r="U79" s="293"/>
      <c r="V79" s="293"/>
      <c r="W79" s="298">
        <v>906</v>
      </c>
      <c r="X79" s="194"/>
      <c r="Y79" s="194"/>
      <c r="Z79" s="194"/>
      <c r="AA79" s="194"/>
      <c r="AB79" s="194"/>
      <c r="AC79" s="194"/>
      <c r="AD79" s="194"/>
      <c r="AE79" s="194"/>
      <c r="AF79" s="194"/>
      <c r="AG79" s="194"/>
      <c r="AH79" s="194"/>
      <c r="AI79" s="116"/>
    </row>
    <row r="80" spans="1:38" hidden="1">
      <c r="A80" s="363" t="s">
        <v>55</v>
      </c>
      <c r="B80" s="364" t="s">
        <v>56</v>
      </c>
      <c r="C80" s="316"/>
      <c r="D80" s="317"/>
      <c r="E80" s="318"/>
      <c r="F80" s="319"/>
      <c r="G80" s="319"/>
      <c r="H80" s="295"/>
      <c r="I80" s="295"/>
      <c r="J80" s="295"/>
      <c r="K80" s="295"/>
      <c r="L80" s="297"/>
      <c r="M80" s="297"/>
      <c r="N80" s="297"/>
      <c r="O80" s="297"/>
      <c r="P80" s="297"/>
      <c r="Q80" s="297"/>
      <c r="R80" s="297"/>
      <c r="S80" s="293"/>
      <c r="T80" s="392"/>
      <c r="U80" s="365"/>
      <c r="V80" s="365"/>
      <c r="W80" s="366">
        <v>904</v>
      </c>
      <c r="X80" s="194"/>
      <c r="Y80" s="194"/>
      <c r="Z80" s="194"/>
      <c r="AA80" s="194"/>
      <c r="AB80" s="194"/>
      <c r="AC80" s="194"/>
      <c r="AD80" s="194"/>
      <c r="AE80" s="194"/>
      <c r="AF80" s="194"/>
      <c r="AG80" s="194"/>
      <c r="AH80" s="194"/>
      <c r="AI80" s="116"/>
    </row>
    <row r="81" spans="1:35" ht="16.899999999999999" hidden="1" customHeight="1">
      <c r="A81" s="322" t="s">
        <v>55</v>
      </c>
      <c r="B81" s="336" t="s">
        <v>56</v>
      </c>
      <c r="C81" s="337">
        <f>3208.7+534.9</f>
        <v>3743.6</v>
      </c>
      <c r="D81" s="338"/>
      <c r="E81" s="339">
        <f>3208759+534875</f>
        <v>3743634</v>
      </c>
      <c r="F81" s="340">
        <f>E81/1000</f>
        <v>3743.634</v>
      </c>
      <c r="G81" s="340">
        <f>F81-C81</f>
        <v>3.4000000000105501E-2</v>
      </c>
      <c r="H81" s="327"/>
      <c r="I81" s="327"/>
      <c r="J81" s="327"/>
      <c r="K81" s="327"/>
      <c r="L81" s="329">
        <v>124000</v>
      </c>
      <c r="M81" s="329"/>
      <c r="N81" s="329"/>
      <c r="O81" s="329"/>
      <c r="P81" s="329"/>
      <c r="Q81" s="329">
        <v>24000000</v>
      </c>
      <c r="R81" s="329"/>
      <c r="S81" s="325">
        <f>Z81+AB81</f>
        <v>0</v>
      </c>
      <c r="T81" s="329"/>
      <c r="U81" s="325"/>
      <c r="V81" s="325"/>
      <c r="W81" s="330">
        <v>907</v>
      </c>
      <c r="X81" s="194"/>
      <c r="Y81" s="194"/>
      <c r="Z81" s="194"/>
      <c r="AA81" s="194"/>
      <c r="AB81" s="194"/>
      <c r="AC81" s="194"/>
      <c r="AD81" s="194"/>
      <c r="AE81" s="194"/>
      <c r="AF81" s="194"/>
      <c r="AG81" s="194"/>
      <c r="AH81" s="194"/>
      <c r="AI81" s="116"/>
    </row>
    <row r="82" spans="1:35" hidden="1">
      <c r="C82" s="205">
        <f>C6</f>
        <v>864721.7</v>
      </c>
      <c r="D82" s="205">
        <f>D6</f>
        <v>360</v>
      </c>
      <c r="E82" s="205">
        <f>E6</f>
        <v>864721718.66999996</v>
      </c>
      <c r="F82" s="205">
        <f>F6</f>
        <v>832206.21461999987</v>
      </c>
      <c r="G82" s="205">
        <f>G6</f>
        <v>0.11462000000285499</v>
      </c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</row>
    <row r="83" spans="1:35" hidden="1">
      <c r="C83" s="116">
        <f>C6-C82</f>
        <v>0</v>
      </c>
      <c r="D83" s="116">
        <f>D6-D82</f>
        <v>0</v>
      </c>
      <c r="E83" s="116">
        <f>E6-E82</f>
        <v>0</v>
      </c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</row>
    <row r="84" spans="1:35">
      <c r="A84" s="245" t="s">
        <v>137</v>
      </c>
      <c r="B84" s="245"/>
      <c r="C84" s="96"/>
      <c r="D84" s="96"/>
      <c r="E84" s="96"/>
      <c r="F84" s="245"/>
      <c r="G84" s="245"/>
      <c r="H84" s="246">
        <v>0</v>
      </c>
      <c r="I84" s="246">
        <v>1</v>
      </c>
      <c r="J84" s="246"/>
      <c r="K84" s="246"/>
      <c r="L84" s="246">
        <f>L7</f>
        <v>28719000</v>
      </c>
      <c r="M84" s="246">
        <f>M7</f>
        <v>21255000</v>
      </c>
      <c r="N84" s="246">
        <f>N7</f>
        <v>0</v>
      </c>
      <c r="O84" s="246">
        <f>O7</f>
        <v>0</v>
      </c>
      <c r="P84" s="246">
        <f t="shared" ref="P84:S84" si="58">P10+P11+P8</f>
        <v>0</v>
      </c>
      <c r="Q84" s="246">
        <f t="shared" si="58"/>
        <v>21255000</v>
      </c>
      <c r="R84" s="246">
        <f t="shared" si="58"/>
        <v>0</v>
      </c>
      <c r="S84" s="246">
        <f t="shared" si="58"/>
        <v>0</v>
      </c>
      <c r="T84" s="246">
        <f>T8+T11</f>
        <v>311401000</v>
      </c>
      <c r="U84" s="246">
        <f t="shared" ref="U84:AH84" si="59">U8+U11</f>
        <v>44826000</v>
      </c>
      <c r="V84" s="246">
        <f t="shared" si="59"/>
        <v>6723000</v>
      </c>
      <c r="W84" s="246"/>
      <c r="X84" s="246">
        <f t="shared" si="59"/>
        <v>0</v>
      </c>
      <c r="Y84" s="246">
        <f t="shared" si="59"/>
        <v>18077000</v>
      </c>
      <c r="Z84" s="246">
        <f t="shared" si="59"/>
        <v>0</v>
      </c>
      <c r="AA84" s="246">
        <f t="shared" si="59"/>
        <v>0</v>
      </c>
      <c r="AB84" s="246">
        <f t="shared" si="59"/>
        <v>0</v>
      </c>
      <c r="AC84" s="246">
        <f t="shared" si="59"/>
        <v>311401000</v>
      </c>
      <c r="AD84" s="246">
        <f t="shared" si="59"/>
        <v>0</v>
      </c>
      <c r="AE84" s="246">
        <f t="shared" si="59"/>
        <v>0</v>
      </c>
      <c r="AF84" s="246">
        <f t="shared" si="59"/>
        <v>44826000</v>
      </c>
      <c r="AG84" s="246">
        <f t="shared" si="59"/>
        <v>0</v>
      </c>
      <c r="AH84" s="246">
        <f t="shared" si="59"/>
        <v>6723000</v>
      </c>
    </row>
    <row r="85" spans="1:35">
      <c r="A85" s="259" t="s">
        <v>61</v>
      </c>
      <c r="B85" s="259"/>
      <c r="C85" s="82"/>
      <c r="D85" s="82"/>
      <c r="E85" s="82"/>
      <c r="F85" s="259"/>
      <c r="G85" s="259"/>
      <c r="H85" s="260">
        <f>H28+H26+H38+H39+H40+H57+H58+H61+H62+H70+H7</f>
        <v>3325</v>
      </c>
      <c r="I85" s="260">
        <f>I28+I26+I38+I39+I40+I57+I58+I61+I62+I70+I7</f>
        <v>13244</v>
      </c>
      <c r="J85" s="260">
        <f>J28+J26+J38+J39+J40+J57+J58+J61+J62+J70+J7</f>
        <v>2221</v>
      </c>
      <c r="K85" s="260">
        <f>K28+K26+K38+K39+K40+K57+K58+K61+K62+K70+K7</f>
        <v>12180</v>
      </c>
      <c r="L85" s="260">
        <f>L28+L26+L38+L39+L40+L57+L58+L61+L62+L70+L60</f>
        <v>5831614.9000000004</v>
      </c>
      <c r="M85" s="260">
        <f>M28+M26+M38+M39+M40+M57+M58+M61+M62+M70+M60</f>
        <v>5819434.9000000004</v>
      </c>
      <c r="N85" s="260">
        <f>N28+N26+N38+N39+N40+N57+N58+N61+N62+N70+N60</f>
        <v>2180</v>
      </c>
      <c r="O85" s="260">
        <f>O28+O26+O38+O39+O40+O57+O58+O61+O62+O70+O60</f>
        <v>0</v>
      </c>
      <c r="P85" s="260">
        <f t="shared" ref="P85:S85" si="60">P26+P39+P40+P57+P60+P62+P68+P38+P58+P75</f>
        <v>0</v>
      </c>
      <c r="Q85" s="260">
        <f t="shared" si="60"/>
        <v>7662714.9000000004</v>
      </c>
      <c r="R85" s="260">
        <f t="shared" si="60"/>
        <v>3416921.05</v>
      </c>
      <c r="S85" s="260">
        <f t="shared" si="60"/>
        <v>5666928.8399999999</v>
      </c>
      <c r="T85" s="260">
        <f>T26+T38+T39+T40+T41+T57+T58+T60+T62+T68</f>
        <v>8254246.3999999994</v>
      </c>
      <c r="U85" s="260">
        <f t="shared" ref="U85:AH85" si="61">U26+U38+U39+U40+U41+U57+U58+U60+U62+U68</f>
        <v>5661383.4199999999</v>
      </c>
      <c r="V85" s="260">
        <f t="shared" si="61"/>
        <v>5681347.9299999997</v>
      </c>
      <c r="W85" s="260"/>
      <c r="X85" s="260">
        <f t="shared" si="61"/>
        <v>3270416.61</v>
      </c>
      <c r="Y85" s="260">
        <f t="shared" si="61"/>
        <v>4042298.29</v>
      </c>
      <c r="Z85" s="260">
        <f t="shared" si="61"/>
        <v>1838758.69</v>
      </c>
      <c r="AA85" s="260">
        <f t="shared" si="61"/>
        <v>4562189.13</v>
      </c>
      <c r="AB85" s="260">
        <f t="shared" si="61"/>
        <v>3828170.15</v>
      </c>
      <c r="AC85" s="260">
        <f t="shared" si="61"/>
        <v>3692057.27</v>
      </c>
      <c r="AD85" s="260">
        <f t="shared" si="61"/>
        <v>2138015.89</v>
      </c>
      <c r="AE85" s="260">
        <f t="shared" si="61"/>
        <v>2031199.79</v>
      </c>
      <c r="AF85" s="260">
        <f t="shared" si="61"/>
        <v>3630183.63</v>
      </c>
      <c r="AG85" s="260">
        <f t="shared" si="61"/>
        <v>2048676.65</v>
      </c>
      <c r="AH85" s="260">
        <f t="shared" si="61"/>
        <v>3632671.2800000003</v>
      </c>
    </row>
    <row r="86" spans="1:35">
      <c r="A86" s="274" t="s">
        <v>63</v>
      </c>
      <c r="B86" s="274"/>
      <c r="C86" s="274"/>
      <c r="D86" s="274"/>
      <c r="E86" s="274"/>
      <c r="F86" s="274"/>
      <c r="G86" s="274"/>
      <c r="H86" s="275">
        <f t="shared" ref="H86:O86" si="62">H67</f>
        <v>3104</v>
      </c>
      <c r="I86" s="275">
        <f t="shared" si="62"/>
        <v>5684</v>
      </c>
      <c r="J86" s="275">
        <f t="shared" si="62"/>
        <v>3954</v>
      </c>
      <c r="K86" s="275">
        <f t="shared" si="62"/>
        <v>5031</v>
      </c>
      <c r="L86" s="275">
        <f t="shared" si="62"/>
        <v>15914522</v>
      </c>
      <c r="M86" s="275">
        <f t="shared" si="62"/>
        <v>15909491</v>
      </c>
      <c r="N86" s="275">
        <f t="shared" si="62"/>
        <v>4385</v>
      </c>
      <c r="O86" s="275">
        <f t="shared" si="62"/>
        <v>0</v>
      </c>
      <c r="P86" s="275">
        <f>P45+P67</f>
        <v>0</v>
      </c>
      <c r="Q86" s="275">
        <f>Q45+Q67</f>
        <v>15914522</v>
      </c>
      <c r="R86" s="275">
        <f>R45+R67</f>
        <v>19253400</v>
      </c>
      <c r="S86" s="275">
        <f>S45+S67</f>
        <v>60930701</v>
      </c>
      <c r="T86" s="275">
        <f>T45+T67+T80</f>
        <v>19444800</v>
      </c>
      <c r="U86" s="275">
        <f t="shared" ref="U86:AH86" si="63">U45+U67+U80</f>
        <v>19523600</v>
      </c>
      <c r="V86" s="275">
        <f t="shared" si="63"/>
        <v>19605400</v>
      </c>
      <c r="W86" s="275"/>
      <c r="X86" s="275">
        <f t="shared" si="63"/>
        <v>3710522</v>
      </c>
      <c r="Y86" s="275">
        <f t="shared" si="63"/>
        <v>12204000</v>
      </c>
      <c r="Z86" s="275">
        <f t="shared" si="63"/>
        <v>14205701</v>
      </c>
      <c r="AA86" s="275">
        <f t="shared" si="63"/>
        <v>4732800</v>
      </c>
      <c r="AB86" s="275">
        <f t="shared" si="63"/>
        <v>46725000</v>
      </c>
      <c r="AC86" s="275">
        <f t="shared" si="63"/>
        <v>14712000</v>
      </c>
      <c r="AD86" s="275">
        <f t="shared" si="63"/>
        <v>14882914</v>
      </c>
      <c r="AE86" s="275">
        <f t="shared" si="63"/>
        <v>4811600</v>
      </c>
      <c r="AF86" s="275">
        <f t="shared" si="63"/>
        <v>14712000</v>
      </c>
      <c r="AG86" s="275">
        <f t="shared" si="63"/>
        <v>4893400</v>
      </c>
      <c r="AH86" s="275">
        <f t="shared" si="63"/>
        <v>14712000</v>
      </c>
    </row>
    <row r="87" spans="1:35">
      <c r="A87" s="288" t="s">
        <v>60</v>
      </c>
      <c r="B87" s="288"/>
      <c r="C87" s="288"/>
      <c r="D87" s="288"/>
      <c r="E87" s="288"/>
      <c r="F87" s="288"/>
      <c r="G87" s="288"/>
      <c r="H87" s="289">
        <f>H18+H32+H33+H37+H54+H55+H56+H65+H66</f>
        <v>601453</v>
      </c>
      <c r="I87" s="289">
        <f>I18+I32+I33+I37+I54+I55+I56+I65+I66</f>
        <v>770705.8</v>
      </c>
      <c r="J87" s="289">
        <f>J18+J32+J33+J37+J54+J55+J56+J65+J66</f>
        <v>688970</v>
      </c>
      <c r="K87" s="289">
        <f>K18+K32+K33+K37+K54+K55+K56+K65+K66</f>
        <v>535811</v>
      </c>
      <c r="L87" s="289">
        <f>L18+L32+L33+L37+L54+L55+L56+L65+L66+L21+L73+L24</f>
        <v>1037630793.11</v>
      </c>
      <c r="M87" s="289">
        <f>M18+M32+M33+M37+M54+M55+M56+M65+M66+M21+M73+M24</f>
        <v>998494982.11000001</v>
      </c>
      <c r="N87" s="289">
        <f>N18+N32+N33+N37+N54+N55+N56+N65+N66+N21+N73+N24</f>
        <v>408610</v>
      </c>
      <c r="O87" s="289">
        <f>O18+O32+O33+O37+O54+O55+O56+O65+O66+O21+O73+O24</f>
        <v>0</v>
      </c>
      <c r="P87" s="289">
        <f>P16+P17+P22+P24+P32+P33+P37+P44+P54+P55+P56+P66+P65+P73+P74+P81+P23</f>
        <v>0</v>
      </c>
      <c r="Q87" s="289">
        <f>Q16+Q17+Q22+Q24+Q32+Q33+Q37+Q44+Q54+Q55+Q56+Q66+Q65+Q73+Q74+Q81+Q23</f>
        <v>1063656000.7199999</v>
      </c>
      <c r="R87" s="289">
        <f>R16+R17+R22+R24+R32+R33+R37+R44+R54+R55+R56+R66+R65+R73+R74+R81+R23</f>
        <v>869640858</v>
      </c>
      <c r="S87" s="289">
        <f>S16+S17+S22+S24+S32+S33+S37+S44+S54+S55+S56+S66+S65+S73+S74+S81+S23</f>
        <v>1006426326.63</v>
      </c>
      <c r="T87" s="289">
        <f>T16+T24+T32+T33+T37+T54+T55+T56+T65+T66+T72+T73</f>
        <v>1141221915.5599999</v>
      </c>
      <c r="U87" s="289">
        <f t="shared" ref="U87:AH87" si="64">U16+U24+U32+U33+U37+U54+U55+U56+U65+U66+U72+U73</f>
        <v>1125680874.22</v>
      </c>
      <c r="V87" s="289">
        <f t="shared" si="64"/>
        <v>1122668952</v>
      </c>
      <c r="W87" s="289"/>
      <c r="X87" s="289">
        <f t="shared" si="64"/>
        <v>76688713.689999998</v>
      </c>
      <c r="Y87" s="289">
        <f t="shared" si="64"/>
        <v>961504590.22000003</v>
      </c>
      <c r="Z87" s="289">
        <f t="shared" si="64"/>
        <v>76531838</v>
      </c>
      <c r="AA87" s="289">
        <f t="shared" si="64"/>
        <v>119652851</v>
      </c>
      <c r="AB87" s="289">
        <f t="shared" si="64"/>
        <v>902885585.22000003</v>
      </c>
      <c r="AC87" s="289">
        <f t="shared" si="64"/>
        <v>1021569064.5599999</v>
      </c>
      <c r="AD87" s="289">
        <f t="shared" si="64"/>
        <v>74131605</v>
      </c>
      <c r="AE87" s="289">
        <f t="shared" si="64"/>
        <v>112518115</v>
      </c>
      <c r="AF87" s="289">
        <f t="shared" si="64"/>
        <v>1013162759.22</v>
      </c>
      <c r="AG87" s="289">
        <f t="shared" si="64"/>
        <v>110257997</v>
      </c>
      <c r="AH87" s="289">
        <f t="shared" si="64"/>
        <v>1012410955</v>
      </c>
    </row>
    <row r="88" spans="1:35">
      <c r="A88" s="320" t="s">
        <v>64</v>
      </c>
      <c r="B88" s="320"/>
      <c r="C88" s="320"/>
      <c r="D88" s="320"/>
      <c r="E88" s="320"/>
      <c r="F88" s="320"/>
      <c r="G88" s="320"/>
      <c r="H88" s="321">
        <f>H27+H69+H74</f>
        <v>110</v>
      </c>
      <c r="I88" s="321">
        <f>I27+I69+I74</f>
        <v>4134.2</v>
      </c>
      <c r="J88" s="321">
        <f>J27+J69+J74</f>
        <v>110</v>
      </c>
      <c r="K88" s="321">
        <f>K27+K69+K74</f>
        <v>1111</v>
      </c>
      <c r="L88" s="321">
        <f>L27+L69+L47</f>
        <v>18685426.879999999</v>
      </c>
      <c r="M88" s="321">
        <f>M27+M69+M47</f>
        <v>18685315.879999999</v>
      </c>
      <c r="N88" s="321">
        <f>N27+N69+N47</f>
        <v>111</v>
      </c>
      <c r="O88" s="321">
        <f>O27+O69+O47</f>
        <v>0</v>
      </c>
      <c r="P88" s="321">
        <f>P27+P46+P47+P69+P12+P51+P42+P43+P20</f>
        <v>0</v>
      </c>
      <c r="Q88" s="321">
        <f>Q27+Q46+Q47+Q69+Q12+Q51+Q42+Q43+Q20</f>
        <v>37177587.879999995</v>
      </c>
      <c r="R88" s="321">
        <f>R27+R46+R47+R69+R12+R51+R42+R43+R20</f>
        <v>80995</v>
      </c>
      <c r="S88" s="321">
        <f>S27+S46+S47+S69+S12+S51+S42+S43+S20</f>
        <v>10201991</v>
      </c>
      <c r="T88" s="321">
        <f>T15+T27+T69+T12</f>
        <v>12028969</v>
      </c>
      <c r="U88" s="321">
        <f t="shared" ref="U88" si="65">U15+U27+U69+U12</f>
        <v>82515207</v>
      </c>
      <c r="V88" s="321">
        <f>V15+V27+V69+V12+V20</f>
        <v>19435445</v>
      </c>
      <c r="W88" s="321">
        <f t="shared" ref="W88:AH88" si="66">W15+W27+W69+W12+W20</f>
        <v>4535</v>
      </c>
      <c r="X88" s="321">
        <f t="shared" si="66"/>
        <v>16718335</v>
      </c>
      <c r="Y88" s="321">
        <f t="shared" si="66"/>
        <v>19751593</v>
      </c>
      <c r="Z88" s="321">
        <f t="shared" si="66"/>
        <v>59209</v>
      </c>
      <c r="AA88" s="321">
        <f t="shared" si="66"/>
        <v>45509</v>
      </c>
      <c r="AB88" s="321">
        <f t="shared" si="66"/>
        <v>124718</v>
      </c>
      <c r="AC88" s="321">
        <f t="shared" si="66"/>
        <v>11983460</v>
      </c>
      <c r="AD88" s="321">
        <f t="shared" si="66"/>
        <v>62063</v>
      </c>
      <c r="AE88" s="321">
        <f t="shared" si="66"/>
        <v>81596994</v>
      </c>
      <c r="AF88" s="321">
        <f t="shared" si="66"/>
        <v>918213</v>
      </c>
      <c r="AG88" s="321">
        <f t="shared" si="66"/>
        <v>19148093</v>
      </c>
      <c r="AH88" s="321">
        <f t="shared" si="66"/>
        <v>287352</v>
      </c>
    </row>
    <row r="89" spans="1:35">
      <c r="A89" s="341" t="s">
        <v>62</v>
      </c>
      <c r="B89" s="341"/>
      <c r="C89" s="341"/>
      <c r="D89" s="341"/>
      <c r="E89" s="341"/>
      <c r="F89" s="341"/>
      <c r="G89" s="341"/>
      <c r="H89" s="342">
        <f>H14+H29+H19+H63+H64</f>
        <v>1286</v>
      </c>
      <c r="I89" s="342">
        <f>I14+I29+I19+I63+I64</f>
        <v>42332</v>
      </c>
      <c r="J89" s="342">
        <f t="shared" ref="J89:S89" si="67">J9+J14+J15+J19+J29+J34+J36+J48+J59+J63+J78+J64+J50+J49+J35</f>
        <v>1286</v>
      </c>
      <c r="K89" s="342">
        <f t="shared" si="67"/>
        <v>2581</v>
      </c>
      <c r="L89" s="342">
        <f t="shared" si="67"/>
        <v>77733000.409999996</v>
      </c>
      <c r="M89" s="342">
        <f t="shared" si="67"/>
        <v>77730419.409999996</v>
      </c>
      <c r="N89" s="342">
        <f t="shared" si="67"/>
        <v>2649</v>
      </c>
      <c r="O89" s="342">
        <f t="shared" si="67"/>
        <v>0</v>
      </c>
      <c r="P89" s="342">
        <f t="shared" si="67"/>
        <v>0</v>
      </c>
      <c r="Q89" s="342">
        <f t="shared" si="67"/>
        <v>86017376.159999996</v>
      </c>
      <c r="R89" s="342">
        <f t="shared" si="67"/>
        <v>51965387.739999995</v>
      </c>
      <c r="S89" s="342">
        <f t="shared" si="67"/>
        <v>68164415.269999996</v>
      </c>
      <c r="T89" s="342">
        <f>T14+T18+T19+T21+T29+T35+T36+T59+T63+T64</f>
        <v>261422498.11000001</v>
      </c>
      <c r="U89" s="342">
        <f t="shared" ref="U89:AC89" si="68">U14+U18+U19+U21+U29+U35+U36+U59+U63+U64</f>
        <v>101929925.45</v>
      </c>
      <c r="V89" s="342">
        <f t="shared" si="68"/>
        <v>116886449.03</v>
      </c>
      <c r="W89" s="342"/>
      <c r="X89" s="342">
        <f t="shared" si="68"/>
        <v>11932448.67</v>
      </c>
      <c r="Y89" s="342">
        <f t="shared" si="68"/>
        <v>50587551.739999995</v>
      </c>
      <c r="Z89" s="342">
        <f t="shared" si="68"/>
        <v>18287591.640000001</v>
      </c>
      <c r="AA89" s="342">
        <f t="shared" si="68"/>
        <v>154690918.22</v>
      </c>
      <c r="AB89" s="342">
        <f t="shared" si="68"/>
        <v>48109723.629999995</v>
      </c>
      <c r="AC89" s="342">
        <f t="shared" si="68"/>
        <v>106731579.89</v>
      </c>
      <c r="AD89" s="342">
        <f t="shared" ref="AD89:AH89" si="69">AD14+AD18+AD19+AD21+AD29+AD35+AD36+AD59+AD63+AD64</f>
        <v>0</v>
      </c>
      <c r="AE89" s="342">
        <f t="shared" si="69"/>
        <v>65994590.939999998</v>
      </c>
      <c r="AF89" s="342">
        <f t="shared" si="69"/>
        <v>35935334.509999998</v>
      </c>
      <c r="AG89" s="342">
        <f t="shared" si="69"/>
        <v>74908590.25</v>
      </c>
      <c r="AH89" s="342">
        <f t="shared" si="69"/>
        <v>41977858.780000001</v>
      </c>
    </row>
    <row r="90" spans="1:35">
      <c r="H90" s="206"/>
      <c r="I90" s="206"/>
      <c r="J90" s="206"/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</row>
    <row r="91" spans="1:35">
      <c r="H91" s="207">
        <f t="shared" ref="H91:N91" si="70">SUM(H84:H90)</f>
        <v>609278</v>
      </c>
      <c r="I91" s="207">
        <f t="shared" si="70"/>
        <v>836101</v>
      </c>
      <c r="J91" s="207">
        <f t="shared" si="70"/>
        <v>696541</v>
      </c>
      <c r="K91" s="207">
        <f t="shared" si="70"/>
        <v>556714</v>
      </c>
      <c r="L91" s="207">
        <f>SUM(L84:L90)</f>
        <v>1184514357.3000002</v>
      </c>
      <c r="M91" s="207">
        <f t="shared" si="70"/>
        <v>1137894643.3</v>
      </c>
      <c r="N91" s="207">
        <f t="shared" si="70"/>
        <v>417935</v>
      </c>
      <c r="O91" s="207"/>
      <c r="P91" s="207"/>
      <c r="Q91" s="207">
        <f>SUM(Q84:Q90)</f>
        <v>1231683201.6600001</v>
      </c>
      <c r="R91" s="207">
        <f t="shared" ref="R91:S91" si="71">SUM(R84:R90)</f>
        <v>944357561.78999996</v>
      </c>
      <c r="S91" s="207">
        <f t="shared" si="71"/>
        <v>1151390362.74</v>
      </c>
      <c r="T91" s="207">
        <f>SUM(T84:T90)</f>
        <v>1753773429.0700002</v>
      </c>
      <c r="U91" s="207">
        <f t="shared" ref="U91:AH91" si="72">SUM(U84:U90)</f>
        <v>1380136990.0900002</v>
      </c>
      <c r="V91" s="207">
        <f t="shared" si="72"/>
        <v>1291000593.96</v>
      </c>
      <c r="W91" s="207"/>
      <c r="X91" s="207">
        <f t="shared" si="72"/>
        <v>112320435.97</v>
      </c>
      <c r="Y91" s="207">
        <f t="shared" si="72"/>
        <v>1066167033.25</v>
      </c>
      <c r="Z91" s="207">
        <f t="shared" si="72"/>
        <v>110923098.33</v>
      </c>
      <c r="AA91" s="207">
        <f t="shared" si="72"/>
        <v>283684267.35000002</v>
      </c>
      <c r="AB91" s="207">
        <f t="shared" si="72"/>
        <v>1001673197</v>
      </c>
      <c r="AC91" s="207">
        <f t="shared" si="72"/>
        <v>1470089161.72</v>
      </c>
      <c r="AD91" s="207">
        <f t="shared" si="72"/>
        <v>91214597.890000001</v>
      </c>
      <c r="AE91" s="207">
        <f t="shared" si="72"/>
        <v>266952499.73000002</v>
      </c>
      <c r="AF91" s="207">
        <f t="shared" si="72"/>
        <v>1113184490.3600001</v>
      </c>
      <c r="AG91" s="207">
        <f t="shared" si="72"/>
        <v>211256756.90000001</v>
      </c>
      <c r="AH91" s="207">
        <f t="shared" si="72"/>
        <v>1079743837.0599999</v>
      </c>
    </row>
    <row r="92" spans="1:35"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6"/>
      <c r="AH92" s="206"/>
    </row>
    <row r="93" spans="1:35"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</row>
    <row r="94" spans="1:35">
      <c r="A94" s="189">
        <v>0</v>
      </c>
      <c r="H94" s="206">
        <f t="shared" ref="H94:N94" si="73">H91-H5</f>
        <v>0</v>
      </c>
      <c r="I94" s="206">
        <f t="shared" si="73"/>
        <v>1</v>
      </c>
      <c r="J94" s="206">
        <f t="shared" si="73"/>
        <v>0</v>
      </c>
      <c r="K94" s="206">
        <f t="shared" si="73"/>
        <v>11000</v>
      </c>
      <c r="L94" s="206">
        <f t="shared" si="73"/>
        <v>-2761904.4199995995</v>
      </c>
      <c r="M94" s="206">
        <f t="shared" si="73"/>
        <v>-1424207.6099998951</v>
      </c>
      <c r="N94" s="206">
        <f t="shared" si="73"/>
        <v>0</v>
      </c>
      <c r="O94" s="206"/>
      <c r="P94" s="206"/>
      <c r="Q94" s="206">
        <f t="shared" ref="Q94:V94" si="74">Q91-Q5</f>
        <v>-23999999.999999762</v>
      </c>
      <c r="R94" s="206">
        <f t="shared" si="74"/>
        <v>-38489000</v>
      </c>
      <c r="S94" s="206">
        <f t="shared" si="74"/>
        <v>0</v>
      </c>
      <c r="T94" s="206">
        <f>T91-T5</f>
        <v>0</v>
      </c>
      <c r="U94" s="206">
        <f t="shared" si="74"/>
        <v>0</v>
      </c>
      <c r="V94" s="206">
        <f t="shared" si="74"/>
        <v>0</v>
      </c>
      <c r="W94" s="206"/>
      <c r="X94" s="206">
        <f t="shared" ref="X94:AH94" si="75">X91-X5</f>
        <v>-854069.84000000358</v>
      </c>
      <c r="Y94" s="206">
        <f t="shared" si="75"/>
        <v>-21006286.850000143</v>
      </c>
      <c r="Z94" s="206">
        <f t="shared" si="75"/>
        <v>-26408903.410000011</v>
      </c>
      <c r="AA94" s="206">
        <f t="shared" si="75"/>
        <v>0</v>
      </c>
      <c r="AB94" s="206">
        <f t="shared" si="75"/>
        <v>-12385164</v>
      </c>
      <c r="AC94" s="206">
        <f t="shared" si="75"/>
        <v>0</v>
      </c>
      <c r="AD94" s="206">
        <f t="shared" si="75"/>
        <v>0</v>
      </c>
      <c r="AE94" s="206">
        <f t="shared" si="75"/>
        <v>0</v>
      </c>
      <c r="AF94" s="206">
        <f t="shared" si="75"/>
        <v>0</v>
      </c>
      <c r="AG94" s="206">
        <f t="shared" si="75"/>
        <v>0</v>
      </c>
      <c r="AH94" s="206">
        <f t="shared" si="75"/>
        <v>0</v>
      </c>
    </row>
    <row r="95" spans="1:35"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</row>
    <row r="96" spans="1:35">
      <c r="L96" s="116"/>
      <c r="M96" s="116"/>
      <c r="N96" s="116"/>
      <c r="O96" s="116"/>
      <c r="P96" s="116"/>
      <c r="Q96" s="116">
        <f t="shared" ref="Q96:R96" si="76">SUM(Q84:Q89)</f>
        <v>1231683201.6600001</v>
      </c>
      <c r="R96" s="116">
        <f t="shared" si="76"/>
        <v>944357561.78999996</v>
      </c>
      <c r="S96" s="116">
        <f>SUM(S84:S89)</f>
        <v>1151390362.74</v>
      </c>
      <c r="T96" s="116">
        <f>SUM(T84:T89)</f>
        <v>1753773429.0700002</v>
      </c>
      <c r="U96" s="116">
        <f t="shared" ref="U96:AH96" si="77">SUM(U84:U89)</f>
        <v>1380136990.0900002</v>
      </c>
      <c r="V96" s="116">
        <f t="shared" si="77"/>
        <v>1291000593.96</v>
      </c>
      <c r="W96" s="116"/>
      <c r="X96" s="116">
        <f t="shared" si="77"/>
        <v>112320435.97</v>
      </c>
      <c r="Y96" s="116">
        <f t="shared" si="77"/>
        <v>1066167033.25</v>
      </c>
      <c r="Z96" s="116">
        <f t="shared" si="77"/>
        <v>110923098.33</v>
      </c>
      <c r="AA96" s="116">
        <f t="shared" si="77"/>
        <v>283684267.35000002</v>
      </c>
      <c r="AB96" s="116">
        <f t="shared" si="77"/>
        <v>1001673197</v>
      </c>
      <c r="AC96" s="116">
        <f t="shared" si="77"/>
        <v>1470089161.72</v>
      </c>
      <c r="AD96" s="116">
        <f t="shared" si="77"/>
        <v>91214597.890000001</v>
      </c>
      <c r="AE96" s="116">
        <f t="shared" si="77"/>
        <v>266952499.73000002</v>
      </c>
      <c r="AF96" s="116">
        <f t="shared" si="77"/>
        <v>1113184490.3600001</v>
      </c>
      <c r="AG96" s="116">
        <f t="shared" si="77"/>
        <v>211256756.90000001</v>
      </c>
      <c r="AH96" s="116">
        <f t="shared" si="77"/>
        <v>1079743837.0599999</v>
      </c>
    </row>
    <row r="97" spans="12:34">
      <c r="L97" s="116"/>
      <c r="M97" s="116"/>
      <c r="N97" s="116"/>
      <c r="O97" s="116"/>
      <c r="P97" s="116"/>
      <c r="Q97" s="116">
        <f>Q96-Q5</f>
        <v>-23999999.999999762</v>
      </c>
      <c r="R97" s="116">
        <f>R96-R5</f>
        <v>-38489000</v>
      </c>
      <c r="S97" s="116">
        <f>S96-S5</f>
        <v>0</v>
      </c>
      <c r="T97" s="116">
        <f>T96-T6</f>
        <v>0</v>
      </c>
      <c r="U97" s="116">
        <f>U96-U6</f>
        <v>0</v>
      </c>
      <c r="V97" s="116">
        <f>V96-V6</f>
        <v>0</v>
      </c>
      <c r="W97" s="116"/>
      <c r="X97" s="116">
        <f t="shared" ref="X97:AH97" si="78">X96-X6</f>
        <v>-854069.84000000358</v>
      </c>
      <c r="Y97" s="116">
        <f t="shared" si="78"/>
        <v>-21006286.850000143</v>
      </c>
      <c r="Z97" s="116">
        <f t="shared" si="78"/>
        <v>-26408903.410000011</v>
      </c>
      <c r="AA97" s="116">
        <f t="shared" si="78"/>
        <v>0</v>
      </c>
      <c r="AB97" s="116">
        <f t="shared" si="78"/>
        <v>-12385164</v>
      </c>
      <c r="AC97" s="116">
        <f t="shared" si="78"/>
        <v>0</v>
      </c>
      <c r="AD97" s="116">
        <f t="shared" si="78"/>
        <v>0</v>
      </c>
      <c r="AE97" s="116">
        <f t="shared" si="78"/>
        <v>0</v>
      </c>
      <c r="AF97" s="116">
        <f t="shared" si="78"/>
        <v>0</v>
      </c>
      <c r="AG97" s="116">
        <f t="shared" si="78"/>
        <v>0</v>
      </c>
      <c r="AH97" s="116">
        <f t="shared" si="78"/>
        <v>0</v>
      </c>
    </row>
    <row r="98" spans="12:34"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6"/>
      <c r="AH98" s="116"/>
    </row>
    <row r="99" spans="12:34"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</row>
    <row r="100" spans="12:34"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6"/>
      <c r="AC100" s="116"/>
      <c r="AD100" s="116"/>
      <c r="AE100" s="116"/>
      <c r="AF100" s="116"/>
      <c r="AG100" s="116"/>
      <c r="AH100" s="116"/>
    </row>
    <row r="101" spans="12:34"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</row>
    <row r="102" spans="12:34"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6"/>
      <c r="AH102" s="116"/>
    </row>
    <row r="114" spans="20:21">
      <c r="T114" s="116"/>
      <c r="U114" s="116"/>
    </row>
  </sheetData>
  <autoFilter ref="A4:AL89"/>
  <mergeCells count="3">
    <mergeCell ref="A1:S1"/>
    <mergeCell ref="A2:S2"/>
    <mergeCell ref="A3:S3"/>
  </mergeCells>
  <pageMargins left="0" right="0" top="0" bottom="0" header="0.31496062992125984" footer="0.31496062992125984"/>
  <pageSetup paperSize="9" scale="65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C92"/>
  <sheetViews>
    <sheetView workbookViewId="0">
      <pane xSplit="7" ySplit="4" topLeftCell="Q49" activePane="bottomRight" state="frozen"/>
      <selection pane="topRight" activeCell="H1" sqref="H1"/>
      <selection pane="bottomLeft" activeCell="A5" sqref="A5"/>
      <selection pane="bottomRight" activeCell="Q77" sqref="Q77"/>
    </sheetView>
  </sheetViews>
  <sheetFormatPr defaultColWidth="8.85546875" defaultRowHeight="15"/>
  <cols>
    <col min="1" max="1" width="20.7109375" style="189" customWidth="1"/>
    <col min="2" max="2" width="68.7109375" style="189" customWidth="1"/>
    <col min="3" max="3" width="17.85546875" style="189" hidden="1" customWidth="1"/>
    <col min="4" max="4" width="16.140625" style="189" hidden="1" customWidth="1"/>
    <col min="5" max="5" width="18.5703125" style="189" hidden="1" customWidth="1"/>
    <col min="6" max="6" width="11.7109375" style="189" hidden="1" customWidth="1"/>
    <col min="7" max="7" width="11" style="189" hidden="1" customWidth="1"/>
    <col min="8" max="10" width="14.28515625" style="189" hidden="1" customWidth="1"/>
    <col min="11" max="11" width="13.7109375" style="189" hidden="1" customWidth="1"/>
    <col min="12" max="16" width="14.85546875" style="189" hidden="1" customWidth="1"/>
    <col min="17" max="17" width="14.85546875" style="189" customWidth="1"/>
    <col min="18" max="18" width="14.85546875" style="189" hidden="1" customWidth="1"/>
    <col min="19" max="19" width="14.85546875" style="189" customWidth="1"/>
    <col min="20" max="20" width="14.85546875" style="189" hidden="1" customWidth="1"/>
    <col min="21" max="21" width="14.85546875" style="189" customWidth="1"/>
    <col min="22" max="22" width="8.85546875" style="189"/>
    <col min="23" max="23" width="14.42578125" style="189" customWidth="1"/>
    <col min="24" max="24" width="15.7109375" style="189" customWidth="1"/>
    <col min="25" max="25" width="13.28515625" style="189" customWidth="1"/>
    <col min="26" max="26" width="14.7109375" style="189" customWidth="1"/>
    <col min="27" max="27" width="13.7109375" style="189" customWidth="1"/>
    <col min="28" max="28" width="15.28515625" style="189" customWidth="1"/>
    <col min="29" max="16384" width="8.85546875" style="189"/>
  </cols>
  <sheetData>
    <row r="1" spans="1:28" ht="12" customHeight="1">
      <c r="A1" s="404" t="s">
        <v>0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  <c r="Q1" s="404"/>
      <c r="R1" s="404"/>
      <c r="S1" s="404"/>
      <c r="T1" s="214"/>
      <c r="U1" s="214"/>
    </row>
    <row r="2" spans="1:28" ht="12" customHeight="1">
      <c r="A2" s="404" t="s">
        <v>1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214"/>
      <c r="U2" s="214"/>
    </row>
    <row r="3" spans="1:28" ht="12" customHeight="1">
      <c r="A3" s="405" t="s">
        <v>182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215"/>
      <c r="U3" s="215"/>
      <c r="V3" s="199" t="s">
        <v>135</v>
      </c>
    </row>
    <row r="4" spans="1:28" ht="15.75" customHeight="1">
      <c r="A4" s="119" t="s">
        <v>74</v>
      </c>
      <c r="B4" s="119" t="s">
        <v>2</v>
      </c>
      <c r="C4" s="119" t="s">
        <v>34</v>
      </c>
      <c r="D4" s="119" t="s">
        <v>17</v>
      </c>
      <c r="E4" s="119" t="s">
        <v>35</v>
      </c>
      <c r="H4" s="126">
        <v>2020</v>
      </c>
      <c r="I4" s="200">
        <v>2020</v>
      </c>
      <c r="J4" s="126">
        <v>2021</v>
      </c>
      <c r="K4" s="126">
        <v>2021</v>
      </c>
      <c r="L4" s="190">
        <v>2022</v>
      </c>
      <c r="M4" s="190" t="s">
        <v>117</v>
      </c>
      <c r="N4" s="190">
        <v>2022</v>
      </c>
      <c r="O4" s="190"/>
      <c r="P4" s="190"/>
      <c r="Q4" s="190">
        <v>2023</v>
      </c>
      <c r="R4" s="191" t="s">
        <v>180</v>
      </c>
      <c r="S4" s="191">
        <v>2024</v>
      </c>
      <c r="T4" s="191" t="s">
        <v>181</v>
      </c>
      <c r="U4" s="191">
        <v>2025</v>
      </c>
      <c r="V4" s="199"/>
      <c r="W4" s="192" t="s">
        <v>121</v>
      </c>
      <c r="X4" s="193" t="s">
        <v>122</v>
      </c>
      <c r="Y4" s="192" t="s">
        <v>129</v>
      </c>
      <c r="Z4" s="193" t="s">
        <v>130</v>
      </c>
      <c r="AA4" s="192" t="s">
        <v>159</v>
      </c>
      <c r="AB4" s="193" t="s">
        <v>158</v>
      </c>
    </row>
    <row r="5" spans="1:28">
      <c r="A5" s="171" t="s">
        <v>57</v>
      </c>
      <c r="B5" s="113" t="s">
        <v>58</v>
      </c>
      <c r="C5" s="16">
        <f t="shared" ref="C5:K5" si="0">C6-C71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25">
        <f>L6+L71</f>
        <v>1187276261.7199998</v>
      </c>
      <c r="M5" s="25">
        <f>M6-M71</f>
        <v>1139318850.9099998</v>
      </c>
      <c r="N5" s="25">
        <f>N6-N71</f>
        <v>417935</v>
      </c>
      <c r="O5" s="25"/>
      <c r="P5" s="25"/>
      <c r="Q5" s="25">
        <f>Q6+Q69</f>
        <v>1231683201.6599998</v>
      </c>
      <c r="R5" s="25">
        <f t="shared" ref="R5:AB5" si="1">R6+R69</f>
        <v>982846561.78999996</v>
      </c>
      <c r="S5" s="25">
        <f t="shared" si="1"/>
        <v>1151657119.29</v>
      </c>
      <c r="T5" s="25">
        <f t="shared" si="1"/>
        <v>1126677110</v>
      </c>
      <c r="U5" s="25">
        <f t="shared" si="1"/>
        <v>1261033578.75</v>
      </c>
      <c r="V5" s="25"/>
      <c r="W5" s="25">
        <f t="shared" si="1"/>
        <v>113174505.81</v>
      </c>
      <c r="X5" s="25">
        <f t="shared" si="1"/>
        <v>1087173320.1000001</v>
      </c>
      <c r="Y5" s="25">
        <f t="shared" si="1"/>
        <v>137332001.74000001</v>
      </c>
      <c r="Z5" s="25">
        <f t="shared" si="1"/>
        <v>1014325117.55</v>
      </c>
      <c r="AA5" s="25">
        <f t="shared" si="1"/>
        <v>91214597.890000001</v>
      </c>
      <c r="AB5" s="25">
        <f t="shared" si="1"/>
        <v>1169818980.8599999</v>
      </c>
    </row>
    <row r="6" spans="1:28" ht="17.25" customHeight="1">
      <c r="A6" s="171" t="s">
        <v>22</v>
      </c>
      <c r="B6" s="165" t="s">
        <v>23</v>
      </c>
      <c r="C6" s="16">
        <f>C12+C46+C68+C7+C71</f>
        <v>864721.7</v>
      </c>
      <c r="D6" s="16">
        <f>D12+D46+D68+D7+D71</f>
        <v>360</v>
      </c>
      <c r="E6" s="16">
        <f>E12+E46+E68+E7+E71</f>
        <v>864721718.66999996</v>
      </c>
      <c r="F6" s="16">
        <f>F12+F46+F68+F7+F71</f>
        <v>832206.21461999987</v>
      </c>
      <c r="G6" s="16">
        <f>G12+G46+G68+G7+G71</f>
        <v>0.11462000000285499</v>
      </c>
      <c r="H6" s="16">
        <f>H12+H46+H68+H7+H71+H67</f>
        <v>609278</v>
      </c>
      <c r="I6" s="16">
        <f>I12+I46+I68+I7+I71+I67</f>
        <v>836100</v>
      </c>
      <c r="J6" s="16">
        <f>J12+J46+J68+J7+J71+J67</f>
        <v>696541</v>
      </c>
      <c r="K6" s="130">
        <f>K46</f>
        <v>545714</v>
      </c>
      <c r="L6" s="25">
        <f>L12+L46+L68+L7+L67+L65</f>
        <v>1187152261.7199998</v>
      </c>
      <c r="M6" s="25">
        <f>M12+M46+M68+M7+M71+M67+M65</f>
        <v>1139318850.9099998</v>
      </c>
      <c r="N6" s="25">
        <f>N12+N46+N68+N7+N71+N67+N65</f>
        <v>417935</v>
      </c>
      <c r="O6" s="25"/>
      <c r="P6" s="25"/>
      <c r="Q6" s="25">
        <f>Q7+Q12+Q46+Q65</f>
        <v>1200347825.9099998</v>
      </c>
      <c r="R6" s="25">
        <f t="shared" ref="R6:AB6" si="2">R7+R12+R46+R65</f>
        <v>982846561.78999996</v>
      </c>
      <c r="S6" s="25">
        <f t="shared" si="2"/>
        <v>1151657119.29</v>
      </c>
      <c r="T6" s="25">
        <f t="shared" si="2"/>
        <v>1126677110</v>
      </c>
      <c r="U6" s="25">
        <f t="shared" si="2"/>
        <v>1261033578.75</v>
      </c>
      <c r="V6" s="25"/>
      <c r="W6" s="25">
        <f t="shared" si="2"/>
        <v>113174505.81</v>
      </c>
      <c r="X6" s="25">
        <f t="shared" si="2"/>
        <v>1087173320.1000001</v>
      </c>
      <c r="Y6" s="25">
        <f t="shared" si="2"/>
        <v>137332001.74000001</v>
      </c>
      <c r="Z6" s="25">
        <f t="shared" si="2"/>
        <v>1014325117.55</v>
      </c>
      <c r="AA6" s="25">
        <f t="shared" si="2"/>
        <v>91214597.890000001</v>
      </c>
      <c r="AB6" s="25">
        <f t="shared" si="2"/>
        <v>1169818980.8599999</v>
      </c>
    </row>
    <row r="7" spans="1:28">
      <c r="A7" s="216" t="s">
        <v>36</v>
      </c>
      <c r="B7" s="217" t="s">
        <v>26</v>
      </c>
      <c r="C7" s="15">
        <f>C10</f>
        <v>34649</v>
      </c>
      <c r="D7" s="15">
        <f>D10</f>
        <v>0</v>
      </c>
      <c r="E7" s="15">
        <f>E10</f>
        <v>34649000</v>
      </c>
      <c r="F7" s="15">
        <f>F10</f>
        <v>34649</v>
      </c>
      <c r="G7" s="15">
        <f>G10</f>
        <v>0</v>
      </c>
      <c r="H7" s="15">
        <f t="shared" ref="H7:K7" si="3">H10+H9</f>
        <v>1186</v>
      </c>
      <c r="I7" s="15">
        <f t="shared" si="3"/>
        <v>1823</v>
      </c>
      <c r="J7" s="15">
        <f t="shared" si="3"/>
        <v>0</v>
      </c>
      <c r="K7" s="218">
        <f t="shared" si="3"/>
        <v>0</v>
      </c>
      <c r="L7" s="219">
        <f t="shared" ref="L7:L9" si="4">W7+X7</f>
        <v>28719000</v>
      </c>
      <c r="M7" s="24">
        <f t="shared" ref="M7:N7" si="5">M9+M10</f>
        <v>21255000</v>
      </c>
      <c r="N7" s="24">
        <f t="shared" si="5"/>
        <v>0</v>
      </c>
      <c r="O7" s="24"/>
      <c r="P7" s="24"/>
      <c r="Q7" s="24">
        <f>SUM(Q8:Q11)</f>
        <v>28719000</v>
      </c>
      <c r="R7" s="24">
        <f t="shared" ref="R7:AB7" si="6">SUM(R8:R10)</f>
        <v>0</v>
      </c>
      <c r="S7" s="24">
        <f t="shared" si="6"/>
        <v>0</v>
      </c>
      <c r="T7" s="24">
        <f t="shared" si="6"/>
        <v>0</v>
      </c>
      <c r="U7" s="24">
        <f t="shared" si="6"/>
        <v>0</v>
      </c>
      <c r="V7" s="24"/>
      <c r="W7" s="24">
        <f t="shared" si="6"/>
        <v>0</v>
      </c>
      <c r="X7" s="24">
        <f>SUM(X8:X11)</f>
        <v>28719000</v>
      </c>
      <c r="Y7" s="24">
        <f t="shared" si="6"/>
        <v>0</v>
      </c>
      <c r="Z7" s="24">
        <f t="shared" si="6"/>
        <v>0</v>
      </c>
      <c r="AA7" s="24">
        <f t="shared" si="6"/>
        <v>0</v>
      </c>
      <c r="AB7" s="24">
        <f t="shared" si="6"/>
        <v>0</v>
      </c>
    </row>
    <row r="8" spans="1:28" ht="24.75">
      <c r="A8" s="171" t="s">
        <v>176</v>
      </c>
      <c r="B8" s="121" t="s">
        <v>177</v>
      </c>
      <c r="C8" s="16"/>
      <c r="D8" s="16"/>
      <c r="E8" s="16"/>
      <c r="F8" s="125"/>
      <c r="G8" s="125"/>
      <c r="H8" s="16"/>
      <c r="I8" s="16"/>
      <c r="J8" s="16"/>
      <c r="K8" s="130"/>
      <c r="L8" s="195"/>
      <c r="M8" s="25"/>
      <c r="N8" s="25"/>
      <c r="O8" s="25"/>
      <c r="P8" s="25"/>
      <c r="Q8" s="25">
        <f>W8+X8</f>
        <v>912000</v>
      </c>
      <c r="R8" s="25"/>
      <c r="S8" s="25"/>
      <c r="T8" s="25"/>
      <c r="U8" s="25"/>
      <c r="V8" s="202">
        <v>905</v>
      </c>
      <c r="W8" s="24"/>
      <c r="X8" s="25">
        <v>912000</v>
      </c>
      <c r="Y8" s="24"/>
      <c r="Z8" s="25"/>
      <c r="AA8" s="24"/>
      <c r="AB8" s="25"/>
    </row>
    <row r="9" spans="1:28" ht="24">
      <c r="A9" s="171" t="s">
        <v>176</v>
      </c>
      <c r="B9" s="165" t="s">
        <v>177</v>
      </c>
      <c r="C9" s="16"/>
      <c r="D9" s="16"/>
      <c r="E9" s="16"/>
      <c r="F9" s="125"/>
      <c r="G9" s="125"/>
      <c r="H9" s="114">
        <v>1186</v>
      </c>
      <c r="I9" s="114">
        <v>1186</v>
      </c>
      <c r="J9" s="16"/>
      <c r="K9" s="130">
        <v>0</v>
      </c>
      <c r="L9" s="195">
        <f t="shared" si="4"/>
        <v>3178000</v>
      </c>
      <c r="M9" s="195">
        <f t="shared" ref="M9:M10" si="7">L9-K9</f>
        <v>3178000</v>
      </c>
      <c r="N9" s="25">
        <v>0</v>
      </c>
      <c r="O9" s="25"/>
      <c r="P9" s="25"/>
      <c r="Q9" s="25">
        <f t="shared" ref="Q9:Q68" si="8">W9+X9</f>
        <v>3178000</v>
      </c>
      <c r="R9" s="25">
        <v>0</v>
      </c>
      <c r="S9" s="25">
        <f t="shared" ref="S9:S71" si="9">Y9+Z9</f>
        <v>0</v>
      </c>
      <c r="T9" s="25"/>
      <c r="U9" s="25">
        <f t="shared" ref="U9:U71" si="10">AA9+AB9</f>
        <v>0</v>
      </c>
      <c r="V9" s="202">
        <v>903</v>
      </c>
      <c r="W9" s="194"/>
      <c r="X9" s="25">
        <f>1033000+2145000</f>
        <v>3178000</v>
      </c>
      <c r="Y9" s="194"/>
      <c r="Z9" s="25"/>
      <c r="AA9" s="194"/>
      <c r="AB9" s="25"/>
    </row>
    <row r="10" spans="1:28" ht="16.899999999999999" customHeight="1">
      <c r="A10" s="115" t="s">
        <v>148</v>
      </c>
      <c r="B10" s="30" t="s">
        <v>149</v>
      </c>
      <c r="C10" s="16">
        <f>9649+25000</f>
        <v>34649</v>
      </c>
      <c r="D10" s="16"/>
      <c r="E10" s="25">
        <f>9649000+25000000</f>
        <v>34649000</v>
      </c>
      <c r="F10" s="116">
        <f t="shared" ref="F10:F68" si="11">E10/1000</f>
        <v>34649</v>
      </c>
      <c r="G10" s="116">
        <f t="shared" ref="G10:G68" si="12">F10-C10</f>
        <v>0</v>
      </c>
      <c r="H10" s="114"/>
      <c r="I10" s="114">
        <v>637</v>
      </c>
      <c r="J10" s="114">
        <v>0</v>
      </c>
      <c r="K10" s="131">
        <v>0</v>
      </c>
      <c r="L10" s="195">
        <f>W10+X10</f>
        <v>18077000</v>
      </c>
      <c r="M10" s="195">
        <f t="shared" si="7"/>
        <v>18077000</v>
      </c>
      <c r="N10" s="195">
        <v>0</v>
      </c>
      <c r="O10" s="195"/>
      <c r="P10" s="195"/>
      <c r="Q10" s="25">
        <f>W10+X10</f>
        <v>18077000</v>
      </c>
      <c r="R10" s="195">
        <v>0</v>
      </c>
      <c r="S10" s="25">
        <f t="shared" si="9"/>
        <v>0</v>
      </c>
      <c r="T10" s="195"/>
      <c r="U10" s="25">
        <f t="shared" si="10"/>
        <v>0</v>
      </c>
      <c r="V10" s="202">
        <v>903</v>
      </c>
      <c r="W10" s="194"/>
      <c r="X10" s="208">
        <v>18077000</v>
      </c>
      <c r="Y10" s="194"/>
      <c r="Z10" s="195"/>
      <c r="AA10" s="194"/>
      <c r="AB10" s="195"/>
    </row>
    <row r="11" spans="1:28" ht="16.899999999999999" customHeight="1">
      <c r="A11" s="115" t="s">
        <v>148</v>
      </c>
      <c r="B11" s="30" t="s">
        <v>149</v>
      </c>
      <c r="C11" s="16"/>
      <c r="D11" s="16"/>
      <c r="E11" s="25"/>
      <c r="F11" s="116"/>
      <c r="G11" s="116"/>
      <c r="H11" s="114"/>
      <c r="I11" s="114"/>
      <c r="J11" s="114"/>
      <c r="K11" s="131"/>
      <c r="L11" s="195"/>
      <c r="M11" s="195"/>
      <c r="N11" s="195"/>
      <c r="O11" s="195"/>
      <c r="P11" s="195"/>
      <c r="Q11" s="25">
        <f>W11+X11</f>
        <v>6552000</v>
      </c>
      <c r="R11" s="195"/>
      <c r="S11" s="25"/>
      <c r="T11" s="195"/>
      <c r="U11" s="25"/>
      <c r="V11" s="202">
        <v>907</v>
      </c>
      <c r="W11" s="194"/>
      <c r="X11" s="208">
        <v>6552000</v>
      </c>
      <c r="Y11" s="194"/>
      <c r="Z11" s="195"/>
      <c r="AA11" s="194"/>
      <c r="AB11" s="195"/>
    </row>
    <row r="12" spans="1:28" ht="15.6" customHeight="1">
      <c r="A12" s="216" t="s">
        <v>37</v>
      </c>
      <c r="B12" s="217" t="s">
        <v>25</v>
      </c>
      <c r="C12" s="15">
        <f t="shared" ref="C12:J12" si="13">SUM(C13:C28)</f>
        <v>99365.099999999991</v>
      </c>
      <c r="D12" s="15">
        <f t="shared" si="13"/>
        <v>0</v>
      </c>
      <c r="E12" s="15">
        <f t="shared" si="13"/>
        <v>99365090.670000002</v>
      </c>
      <c r="F12" s="15">
        <f t="shared" si="13"/>
        <v>66849.586620000002</v>
      </c>
      <c r="G12" s="15">
        <f t="shared" si="13"/>
        <v>8.6620000003062358E-2</v>
      </c>
      <c r="H12" s="15">
        <f t="shared" si="13"/>
        <v>0</v>
      </c>
      <c r="I12" s="15">
        <f>SUM(I13:I28)</f>
        <v>59336</v>
      </c>
      <c r="J12" s="15">
        <f t="shared" si="13"/>
        <v>0</v>
      </c>
      <c r="K12" s="218">
        <v>0</v>
      </c>
      <c r="L12" s="24">
        <f>SUM(L13:L28)</f>
        <v>148264346.09999999</v>
      </c>
      <c r="M12" s="24">
        <f>SUM(M13:M28)</f>
        <v>148254346.09999999</v>
      </c>
      <c r="N12" s="24">
        <f>SUM(N13:N28)</f>
        <v>2</v>
      </c>
      <c r="O12" s="24"/>
      <c r="P12" s="24"/>
      <c r="Q12" s="24">
        <f>SUM(Q13:Q28)</f>
        <v>160804507.09999999</v>
      </c>
      <c r="R12" s="24">
        <f t="shared" ref="R12:AB12" si="14">SUM(R13:R28)</f>
        <v>91677161.789999992</v>
      </c>
      <c r="S12" s="24">
        <f t="shared" si="14"/>
        <v>148159118.28999999</v>
      </c>
      <c r="T12" s="24">
        <f t="shared" si="14"/>
        <v>60972109</v>
      </c>
      <c r="U12" s="24">
        <f t="shared" si="14"/>
        <v>102657764.75000001</v>
      </c>
      <c r="V12" s="24"/>
      <c r="W12" s="24">
        <f t="shared" si="14"/>
        <v>70005813.969999999</v>
      </c>
      <c r="X12" s="24">
        <f t="shared" si="14"/>
        <v>90798693.129999995</v>
      </c>
      <c r="Y12" s="24">
        <f t="shared" si="14"/>
        <v>84122000.739999995</v>
      </c>
      <c r="Z12" s="24">
        <f t="shared" si="14"/>
        <v>64037117.550000004</v>
      </c>
      <c r="AA12" s="24">
        <f t="shared" si="14"/>
        <v>37327783.890000001</v>
      </c>
      <c r="AB12" s="24">
        <f t="shared" si="14"/>
        <v>65329980.859999999</v>
      </c>
    </row>
    <row r="13" spans="1:28" ht="37.15" customHeight="1">
      <c r="A13" s="115" t="s">
        <v>66</v>
      </c>
      <c r="B13" s="30" t="s">
        <v>154</v>
      </c>
      <c r="C13" s="16">
        <v>29411</v>
      </c>
      <c r="D13" s="16"/>
      <c r="E13" s="25">
        <v>29411000</v>
      </c>
      <c r="F13" s="116">
        <f t="shared" si="11"/>
        <v>29411</v>
      </c>
      <c r="G13" s="116">
        <f t="shared" si="12"/>
        <v>0</v>
      </c>
      <c r="H13" s="114"/>
      <c r="I13" s="114">
        <v>23860</v>
      </c>
      <c r="J13" s="114"/>
      <c r="K13" s="131">
        <v>0</v>
      </c>
      <c r="L13" s="195">
        <f t="shared" ref="L13:L27" si="15">W13+X13</f>
        <v>40500000</v>
      </c>
      <c r="M13" s="195">
        <f t="shared" ref="M13:M45" si="16">L13-K13</f>
        <v>40500000</v>
      </c>
      <c r="N13" s="195">
        <v>0</v>
      </c>
      <c r="O13" s="195"/>
      <c r="P13" s="195"/>
      <c r="Q13" s="25">
        <f t="shared" si="8"/>
        <v>40500000</v>
      </c>
      <c r="R13" s="195">
        <v>30000000</v>
      </c>
      <c r="S13" s="25">
        <f t="shared" si="9"/>
        <v>30000000</v>
      </c>
      <c r="T13" s="195">
        <v>30000000</v>
      </c>
      <c r="U13" s="25">
        <f t="shared" si="10"/>
        <v>30000000</v>
      </c>
      <c r="V13" s="202">
        <v>905</v>
      </c>
      <c r="W13" s="194"/>
      <c r="X13" s="195">
        <f>30000000+4500000+6000000</f>
        <v>40500000</v>
      </c>
      <c r="Y13" s="194"/>
      <c r="Z13" s="195">
        <v>30000000</v>
      </c>
      <c r="AA13" s="194"/>
      <c r="AB13" s="195">
        <v>30000000</v>
      </c>
    </row>
    <row r="14" spans="1:28" ht="36" customHeight="1">
      <c r="A14" s="115" t="s">
        <v>118</v>
      </c>
      <c r="B14" s="30" t="s">
        <v>119</v>
      </c>
      <c r="C14" s="16"/>
      <c r="D14" s="16"/>
      <c r="E14" s="25"/>
      <c r="F14" s="116"/>
      <c r="G14" s="116"/>
      <c r="H14" s="114"/>
      <c r="I14" s="114">
        <v>0</v>
      </c>
      <c r="J14" s="114"/>
      <c r="K14" s="131">
        <v>0</v>
      </c>
      <c r="L14" s="195">
        <f t="shared" si="15"/>
        <v>11250000</v>
      </c>
      <c r="M14" s="195">
        <f t="shared" si="16"/>
        <v>11250000</v>
      </c>
      <c r="N14" s="195">
        <v>0</v>
      </c>
      <c r="O14" s="195"/>
      <c r="P14" s="195"/>
      <c r="Q14" s="25">
        <f t="shared" si="8"/>
        <v>11250000</v>
      </c>
      <c r="R14" s="195">
        <v>1471000</v>
      </c>
      <c r="S14" s="25">
        <f t="shared" si="9"/>
        <v>0</v>
      </c>
      <c r="T14" s="195"/>
      <c r="U14" s="25">
        <f t="shared" si="10"/>
        <v>0</v>
      </c>
      <c r="V14" s="202">
        <v>905</v>
      </c>
      <c r="W14" s="194"/>
      <c r="X14" s="195">
        <v>11250000</v>
      </c>
      <c r="Y14" s="194"/>
      <c r="Z14" s="195"/>
      <c r="AA14" s="194"/>
      <c r="AB14" s="195"/>
    </row>
    <row r="15" spans="1:28" ht="54" customHeight="1">
      <c r="A15" s="115" t="s">
        <v>166</v>
      </c>
      <c r="B15" s="117" t="s">
        <v>167</v>
      </c>
      <c r="C15" s="16">
        <v>30453.9</v>
      </c>
      <c r="D15" s="16"/>
      <c r="E15" s="25">
        <v>30453878.91</v>
      </c>
      <c r="F15" s="116"/>
      <c r="G15" s="116"/>
      <c r="H15" s="114"/>
      <c r="I15" s="114"/>
      <c r="J15" s="114"/>
      <c r="K15" s="131"/>
      <c r="L15" s="195">
        <f t="shared" si="15"/>
        <v>562510.79999999993</v>
      </c>
      <c r="M15" s="195">
        <f t="shared" si="16"/>
        <v>562510.79999999993</v>
      </c>
      <c r="N15" s="195">
        <v>0</v>
      </c>
      <c r="O15" s="195"/>
      <c r="P15" s="195"/>
      <c r="Q15" s="25">
        <f t="shared" si="8"/>
        <v>562510.79999999993</v>
      </c>
      <c r="R15" s="195">
        <v>0</v>
      </c>
      <c r="S15" s="25">
        <f t="shared" si="9"/>
        <v>0</v>
      </c>
      <c r="T15" s="195"/>
      <c r="U15" s="25">
        <f t="shared" si="10"/>
        <v>0</v>
      </c>
      <c r="V15" s="202">
        <v>906</v>
      </c>
      <c r="W15" s="194">
        <v>556885.68999999994</v>
      </c>
      <c r="X15" s="195">
        <v>5625.11</v>
      </c>
      <c r="Y15" s="194"/>
      <c r="Z15" s="195"/>
      <c r="AA15" s="194"/>
      <c r="AB15" s="195"/>
    </row>
    <row r="16" spans="1:28" ht="54.75" customHeight="1">
      <c r="A16" s="115" t="s">
        <v>162</v>
      </c>
      <c r="B16" s="196" t="s">
        <v>165</v>
      </c>
      <c r="C16" s="16">
        <v>212.2</v>
      </c>
      <c r="D16" s="16"/>
      <c r="E16" s="25">
        <v>212168.14</v>
      </c>
      <c r="F16" s="116"/>
      <c r="G16" s="116"/>
      <c r="H16" s="114"/>
      <c r="I16" s="114"/>
      <c r="J16" s="114"/>
      <c r="K16" s="131"/>
      <c r="L16" s="195">
        <f t="shared" si="15"/>
        <v>0</v>
      </c>
      <c r="M16" s="195">
        <f t="shared" si="16"/>
        <v>0</v>
      </c>
      <c r="N16" s="195">
        <v>0</v>
      </c>
      <c r="O16" s="195"/>
      <c r="P16" s="195"/>
      <c r="Q16" s="25">
        <f t="shared" si="8"/>
        <v>0</v>
      </c>
      <c r="R16" s="195">
        <v>0</v>
      </c>
      <c r="S16" s="25">
        <f t="shared" si="9"/>
        <v>6786727.2599999998</v>
      </c>
      <c r="T16" s="195"/>
      <c r="U16" s="25">
        <f t="shared" si="10"/>
        <v>0</v>
      </c>
      <c r="V16" s="202">
        <v>906</v>
      </c>
      <c r="W16" s="194"/>
      <c r="X16" s="195"/>
      <c r="Y16" s="194">
        <v>6718860</v>
      </c>
      <c r="Z16" s="195">
        <v>67867.259999999995</v>
      </c>
      <c r="AA16" s="194"/>
      <c r="AB16" s="195"/>
    </row>
    <row r="17" spans="1:28" ht="25.9" customHeight="1">
      <c r="A17" s="115" t="s">
        <v>68</v>
      </c>
      <c r="B17" s="118" t="s">
        <v>69</v>
      </c>
      <c r="C17" s="25"/>
      <c r="D17" s="25"/>
      <c r="E17" s="25"/>
      <c r="F17" s="116"/>
      <c r="G17" s="116"/>
      <c r="H17" s="114"/>
      <c r="I17" s="114">
        <v>0</v>
      </c>
      <c r="J17" s="114"/>
      <c r="K17" s="131">
        <v>0</v>
      </c>
      <c r="L17" s="195">
        <f t="shared" si="15"/>
        <v>0</v>
      </c>
      <c r="M17" s="195">
        <f t="shared" si="16"/>
        <v>0</v>
      </c>
      <c r="N17" s="195">
        <v>0</v>
      </c>
      <c r="O17" s="195"/>
      <c r="P17" s="195"/>
      <c r="Q17" s="25">
        <f t="shared" si="8"/>
        <v>0</v>
      </c>
      <c r="R17" s="195">
        <v>0</v>
      </c>
      <c r="S17" s="25">
        <f t="shared" si="9"/>
        <v>0</v>
      </c>
      <c r="T17" s="195"/>
      <c r="U17" s="25">
        <f t="shared" si="10"/>
        <v>0</v>
      </c>
      <c r="V17" s="202">
        <v>906</v>
      </c>
      <c r="W17" s="194"/>
      <c r="X17" s="195"/>
      <c r="Y17" s="194"/>
      <c r="Z17" s="195"/>
      <c r="AA17" s="194"/>
      <c r="AB17" s="195"/>
    </row>
    <row r="18" spans="1:28" ht="26.25" customHeight="1">
      <c r="A18" s="115" t="s">
        <v>174</v>
      </c>
      <c r="B18" s="165" t="s">
        <v>164</v>
      </c>
      <c r="C18" s="16"/>
      <c r="D18" s="16"/>
      <c r="E18" s="25"/>
      <c r="F18" s="116"/>
      <c r="G18" s="116"/>
      <c r="H18" s="114"/>
      <c r="I18" s="114">
        <v>0</v>
      </c>
      <c r="J18" s="114"/>
      <c r="K18" s="131">
        <v>0</v>
      </c>
      <c r="L18" s="195">
        <f>W18+X18</f>
        <v>403600</v>
      </c>
      <c r="M18" s="195">
        <f t="shared" si="16"/>
        <v>403600</v>
      </c>
      <c r="N18" s="195">
        <v>0</v>
      </c>
      <c r="O18" s="195"/>
      <c r="P18" s="195"/>
      <c r="Q18" s="25">
        <f t="shared" si="8"/>
        <v>403600</v>
      </c>
      <c r="R18" s="195">
        <v>437200</v>
      </c>
      <c r="S18" s="25">
        <f t="shared" si="9"/>
        <v>0</v>
      </c>
      <c r="T18" s="195"/>
      <c r="U18" s="25">
        <f t="shared" si="10"/>
        <v>0</v>
      </c>
      <c r="V18" s="202">
        <v>905</v>
      </c>
      <c r="W18" s="194">
        <v>399542.52</v>
      </c>
      <c r="X18" s="195">
        <v>4057.48</v>
      </c>
      <c r="Y18" s="194"/>
      <c r="Z18" s="195"/>
      <c r="AA18" s="194"/>
      <c r="AB18" s="195"/>
    </row>
    <row r="19" spans="1:28" ht="40.15" hidden="1" customHeight="1">
      <c r="A19" s="115" t="s">
        <v>132</v>
      </c>
      <c r="B19" s="165" t="s">
        <v>133</v>
      </c>
      <c r="C19" s="16"/>
      <c r="D19" s="16"/>
      <c r="E19" s="25"/>
      <c r="F19" s="116"/>
      <c r="G19" s="116"/>
      <c r="H19" s="114"/>
      <c r="I19" s="114"/>
      <c r="J19" s="114"/>
      <c r="K19" s="131"/>
      <c r="L19" s="195">
        <f t="shared" ref="L19" si="17">W19+X19</f>
        <v>0</v>
      </c>
      <c r="M19" s="195">
        <f t="shared" si="16"/>
        <v>0</v>
      </c>
      <c r="N19" s="195">
        <v>1</v>
      </c>
      <c r="O19" s="195"/>
      <c r="P19" s="195"/>
      <c r="Q19" s="25">
        <f t="shared" si="8"/>
        <v>0</v>
      </c>
      <c r="R19" s="195">
        <v>0</v>
      </c>
      <c r="S19" s="25">
        <f t="shared" si="9"/>
        <v>0</v>
      </c>
      <c r="T19" s="195"/>
      <c r="U19" s="25">
        <f t="shared" si="10"/>
        <v>0</v>
      </c>
      <c r="V19" s="202">
        <v>906</v>
      </c>
      <c r="W19" s="194"/>
      <c r="X19" s="195"/>
      <c r="Y19" s="194"/>
      <c r="Z19" s="195"/>
      <c r="AA19" s="194"/>
      <c r="AB19" s="195"/>
    </row>
    <row r="20" spans="1:28" ht="50.25" customHeight="1">
      <c r="A20" s="115" t="s">
        <v>169</v>
      </c>
      <c r="B20" s="165" t="s">
        <v>168</v>
      </c>
      <c r="C20" s="16"/>
      <c r="D20" s="16"/>
      <c r="E20" s="25"/>
      <c r="F20" s="116"/>
      <c r="G20" s="116"/>
      <c r="H20" s="114"/>
      <c r="I20" s="114"/>
      <c r="J20" s="114"/>
      <c r="K20" s="131"/>
      <c r="L20" s="195"/>
      <c r="M20" s="195"/>
      <c r="N20" s="195"/>
      <c r="O20" s="195"/>
      <c r="P20" s="195"/>
      <c r="Q20" s="25">
        <f t="shared" ref="Q20" si="18">W20+X20</f>
        <v>0</v>
      </c>
      <c r="R20" s="195">
        <v>1</v>
      </c>
      <c r="S20" s="25">
        <f t="shared" ref="S20" si="19">Y20+Z20</f>
        <v>19888932.699999999</v>
      </c>
      <c r="T20" s="195"/>
      <c r="U20" s="25">
        <f t="shared" ref="U20" si="20">AA20+AB20</f>
        <v>0</v>
      </c>
      <c r="V20" s="202">
        <v>906</v>
      </c>
      <c r="W20" s="194"/>
      <c r="X20" s="195"/>
      <c r="Y20" s="194">
        <v>19690043.41</v>
      </c>
      <c r="Z20" s="195">
        <v>198889.29</v>
      </c>
      <c r="AA20" s="194"/>
      <c r="AB20" s="195"/>
    </row>
    <row r="21" spans="1:28" ht="35.450000000000003" customHeight="1">
      <c r="A21" s="115" t="s">
        <v>112</v>
      </c>
      <c r="B21" s="165" t="s">
        <v>113</v>
      </c>
      <c r="C21" s="16"/>
      <c r="D21" s="16"/>
      <c r="E21" s="25"/>
      <c r="F21" s="116"/>
      <c r="G21" s="116"/>
      <c r="H21" s="114"/>
      <c r="I21" s="114"/>
      <c r="J21" s="114"/>
      <c r="K21" s="131">
        <v>0</v>
      </c>
      <c r="L21" s="195">
        <f t="shared" si="15"/>
        <v>41702031.109999999</v>
      </c>
      <c r="M21" s="195">
        <f t="shared" si="16"/>
        <v>41702031.109999999</v>
      </c>
      <c r="N21" s="195">
        <v>1</v>
      </c>
      <c r="O21" s="195"/>
      <c r="P21" s="195"/>
      <c r="Q21" s="25">
        <f t="shared" si="8"/>
        <v>41702031.109999999</v>
      </c>
      <c r="R21" s="195">
        <v>36323037</v>
      </c>
      <c r="S21" s="25">
        <f t="shared" si="9"/>
        <v>41702042.219999999</v>
      </c>
      <c r="T21" s="195"/>
      <c r="U21" s="25">
        <f t="shared" si="10"/>
        <v>38186527.210000001</v>
      </c>
      <c r="V21" s="202">
        <v>906</v>
      </c>
      <c r="W21" s="194">
        <v>37531828</v>
      </c>
      <c r="X21" s="195">
        <v>4170203.11</v>
      </c>
      <c r="Y21" s="194">
        <v>37531838</v>
      </c>
      <c r="Z21" s="195">
        <v>4170204.22</v>
      </c>
      <c r="AA21" s="194">
        <v>35131605</v>
      </c>
      <c r="AB21" s="195">
        <v>3054922.21</v>
      </c>
    </row>
    <row r="22" spans="1:28" ht="30" customHeight="1">
      <c r="A22" s="115" t="s">
        <v>150</v>
      </c>
      <c r="B22" s="165" t="s">
        <v>151</v>
      </c>
      <c r="C22" s="16"/>
      <c r="D22" s="16"/>
      <c r="E22" s="25"/>
      <c r="F22" s="116"/>
      <c r="G22" s="116"/>
      <c r="H22" s="114"/>
      <c r="I22" s="114"/>
      <c r="J22" s="114"/>
      <c r="K22" s="131"/>
      <c r="L22" s="195"/>
      <c r="M22" s="195"/>
      <c r="N22" s="195"/>
      <c r="O22" s="195"/>
      <c r="P22" s="195"/>
      <c r="Q22" s="25">
        <f t="shared" si="8"/>
        <v>0</v>
      </c>
      <c r="R22" s="195"/>
      <c r="S22" s="25">
        <f t="shared" si="9"/>
        <v>0</v>
      </c>
      <c r="T22" s="195">
        <v>8000000</v>
      </c>
      <c r="U22" s="25">
        <f t="shared" si="10"/>
        <v>0</v>
      </c>
      <c r="V22" s="202">
        <v>905</v>
      </c>
      <c r="W22" s="194"/>
      <c r="X22" s="195"/>
      <c r="Y22" s="194"/>
      <c r="Z22" s="195"/>
      <c r="AA22" s="194"/>
      <c r="AB22" s="195"/>
    </row>
    <row r="23" spans="1:28" ht="22.5" customHeight="1">
      <c r="A23" s="119" t="s">
        <v>41</v>
      </c>
      <c r="B23" s="40" t="s">
        <v>70</v>
      </c>
      <c r="C23" s="25">
        <v>1770.5</v>
      </c>
      <c r="D23" s="25"/>
      <c r="E23" s="25">
        <v>1770457</v>
      </c>
      <c r="F23" s="116"/>
      <c r="G23" s="116"/>
      <c r="H23" s="114"/>
      <c r="I23" s="114">
        <v>2906</v>
      </c>
      <c r="J23" s="114"/>
      <c r="K23" s="131">
        <v>0</v>
      </c>
      <c r="L23" s="195">
        <f t="shared" si="15"/>
        <v>3629290.9</v>
      </c>
      <c r="M23" s="195">
        <f t="shared" si="16"/>
        <v>3629290.9</v>
      </c>
      <c r="N23" s="195">
        <v>0</v>
      </c>
      <c r="O23" s="195"/>
      <c r="P23" s="195"/>
      <c r="Q23" s="25">
        <f t="shared" si="8"/>
        <v>3629290.9</v>
      </c>
      <c r="R23" s="195">
        <v>1380921.05</v>
      </c>
      <c r="S23" s="25">
        <f t="shared" si="9"/>
        <v>2038304.8399999999</v>
      </c>
      <c r="T23" s="195"/>
      <c r="U23" s="25">
        <f t="shared" si="10"/>
        <v>2371315.54</v>
      </c>
      <c r="V23" s="202">
        <v>902</v>
      </c>
      <c r="W23" s="194">
        <v>3266316.61</v>
      </c>
      <c r="X23" s="195">
        <v>362974.29</v>
      </c>
      <c r="Y23" s="194">
        <v>1834458.69</v>
      </c>
      <c r="Z23" s="195">
        <v>203846.15</v>
      </c>
      <c r="AA23" s="194">
        <v>2134115.89</v>
      </c>
      <c r="AB23" s="195">
        <v>237199.65</v>
      </c>
    </row>
    <row r="24" spans="1:28">
      <c r="A24" s="171" t="s">
        <v>38</v>
      </c>
      <c r="B24" s="30" t="s">
        <v>131</v>
      </c>
      <c r="C24" s="16">
        <v>19.2</v>
      </c>
      <c r="D24" s="16"/>
      <c r="E24" s="25">
        <v>19200</v>
      </c>
      <c r="F24" s="116">
        <f>E24/1000</f>
        <v>19.2</v>
      </c>
      <c r="G24" s="116">
        <f>F24-C24</f>
        <v>0</v>
      </c>
      <c r="H24" s="114"/>
      <c r="I24" s="114">
        <v>4024.2</v>
      </c>
      <c r="J24" s="114"/>
      <c r="K24" s="131">
        <v>0</v>
      </c>
      <c r="L24" s="195">
        <f t="shared" si="15"/>
        <v>18575928</v>
      </c>
      <c r="M24" s="195">
        <f t="shared" si="16"/>
        <v>18575928</v>
      </c>
      <c r="N24" s="195">
        <v>0</v>
      </c>
      <c r="O24" s="195"/>
      <c r="P24" s="195"/>
      <c r="Q24" s="25">
        <f t="shared" si="8"/>
        <v>18575928</v>
      </c>
      <c r="R24" s="195">
        <v>80995</v>
      </c>
      <c r="S24" s="25">
        <f t="shared" si="9"/>
        <v>91927</v>
      </c>
      <c r="T24" s="195">
        <v>26139</v>
      </c>
      <c r="U24" s="25">
        <f>AA24+AB24</f>
        <v>93599</v>
      </c>
      <c r="V24" s="202">
        <v>907</v>
      </c>
      <c r="W24" s="194">
        <f>59209+16659126</f>
        <v>16718335</v>
      </c>
      <c r="X24" s="195">
        <f>6579+1851014</f>
        <v>1857593</v>
      </c>
      <c r="Y24" s="194">
        <v>59209</v>
      </c>
      <c r="Z24" s="195">
        <f>26139+6579</f>
        <v>32718</v>
      </c>
      <c r="AA24" s="194">
        <v>62063</v>
      </c>
      <c r="AB24" s="195">
        <f>26139+5397</f>
        <v>31536</v>
      </c>
    </row>
    <row r="25" spans="1:28" ht="59.25" hidden="1" customHeight="1">
      <c r="A25" s="115" t="s">
        <v>78</v>
      </c>
      <c r="B25" s="118" t="s">
        <v>125</v>
      </c>
      <c r="C25" s="25">
        <v>10592.8</v>
      </c>
      <c r="D25" s="25"/>
      <c r="E25" s="25">
        <v>10592830</v>
      </c>
      <c r="F25" s="116">
        <f>E25/1000</f>
        <v>10592.83</v>
      </c>
      <c r="G25" s="116">
        <f>F25-C25</f>
        <v>3.0000000000654836E-2</v>
      </c>
      <c r="H25" s="114"/>
      <c r="I25" s="114">
        <v>5000</v>
      </c>
      <c r="J25" s="114"/>
      <c r="K25" s="131">
        <v>10000</v>
      </c>
      <c r="L25" s="195">
        <f t="shared" si="15"/>
        <v>0</v>
      </c>
      <c r="M25" s="195">
        <f t="shared" si="16"/>
        <v>-10000</v>
      </c>
      <c r="N25" s="195">
        <v>0</v>
      </c>
      <c r="O25" s="195"/>
      <c r="P25" s="195"/>
      <c r="Q25" s="25">
        <f t="shared" si="8"/>
        <v>0</v>
      </c>
      <c r="R25" s="195">
        <v>0</v>
      </c>
      <c r="S25" s="25">
        <f t="shared" si="9"/>
        <v>0</v>
      </c>
      <c r="T25" s="195"/>
      <c r="U25" s="25">
        <f t="shared" si="10"/>
        <v>0</v>
      </c>
      <c r="V25" s="202" t="s">
        <v>61</v>
      </c>
      <c r="W25" s="194"/>
      <c r="X25" s="195"/>
      <c r="Y25" s="194"/>
      <c r="Z25" s="195"/>
      <c r="AA25" s="194"/>
      <c r="AB25" s="195"/>
    </row>
    <row r="26" spans="1:28" ht="27.75" customHeight="1">
      <c r="A26" s="171" t="s">
        <v>39</v>
      </c>
      <c r="B26" s="30" t="s">
        <v>59</v>
      </c>
      <c r="C26" s="25">
        <v>19852.8</v>
      </c>
      <c r="D26" s="25"/>
      <c r="E26" s="25">
        <v>19852840.23</v>
      </c>
      <c r="F26" s="116">
        <f t="shared" si="11"/>
        <v>19852.840230000002</v>
      </c>
      <c r="G26" s="116">
        <f t="shared" si="12"/>
        <v>4.0230000002338784E-2</v>
      </c>
      <c r="H26" s="114"/>
      <c r="I26" s="114">
        <v>17176</v>
      </c>
      <c r="J26" s="114"/>
      <c r="K26" s="131">
        <v>0</v>
      </c>
      <c r="L26" s="195">
        <f t="shared" si="15"/>
        <v>11649400.41</v>
      </c>
      <c r="M26" s="195">
        <f t="shared" si="16"/>
        <v>11649400.41</v>
      </c>
      <c r="N26" s="195">
        <v>0</v>
      </c>
      <c r="O26" s="195"/>
      <c r="P26" s="195"/>
      <c r="Q26" s="25">
        <f t="shared" si="8"/>
        <v>11649400.41</v>
      </c>
      <c r="R26" s="195">
        <v>16941187.739999998</v>
      </c>
      <c r="S26" s="25">
        <f t="shared" si="9"/>
        <v>18472315.27</v>
      </c>
      <c r="T26" s="195"/>
      <c r="U26" s="25">
        <f t="shared" si="10"/>
        <v>0</v>
      </c>
      <c r="V26" s="202">
        <v>905</v>
      </c>
      <c r="W26" s="116">
        <v>11532906.15</v>
      </c>
      <c r="X26" s="195">
        <v>116494.26</v>
      </c>
      <c r="Y26" s="194">
        <v>18287591.640000001</v>
      </c>
      <c r="Z26" s="195">
        <v>184723.63</v>
      </c>
      <c r="AA26" s="194"/>
      <c r="AB26" s="195"/>
    </row>
    <row r="27" spans="1:28" ht="24.75">
      <c r="A27" s="119" t="s">
        <v>40</v>
      </c>
      <c r="B27" s="120" t="s">
        <v>24</v>
      </c>
      <c r="C27" s="25"/>
      <c r="D27" s="25"/>
      <c r="E27" s="25"/>
      <c r="F27" s="116">
        <f t="shared" si="11"/>
        <v>0</v>
      </c>
      <c r="G27" s="116">
        <f t="shared" si="12"/>
        <v>0</v>
      </c>
      <c r="H27" s="114"/>
      <c r="I27" s="114"/>
      <c r="J27" s="114"/>
      <c r="K27" s="131">
        <v>0</v>
      </c>
      <c r="L27" s="195">
        <f t="shared" si="15"/>
        <v>0</v>
      </c>
      <c r="M27" s="195">
        <f t="shared" si="16"/>
        <v>0</v>
      </c>
      <c r="N27" s="195">
        <v>0</v>
      </c>
      <c r="O27" s="195"/>
      <c r="P27" s="195"/>
      <c r="Q27" s="25">
        <f t="shared" si="8"/>
        <v>0</v>
      </c>
      <c r="R27" s="195">
        <v>0</v>
      </c>
      <c r="S27" s="25">
        <f t="shared" si="9"/>
        <v>0</v>
      </c>
      <c r="T27" s="195"/>
      <c r="U27" s="25">
        <f t="shared" si="10"/>
        <v>0</v>
      </c>
      <c r="V27" s="202"/>
      <c r="W27" s="194"/>
      <c r="X27" s="195"/>
      <c r="Y27" s="194"/>
      <c r="Z27" s="195"/>
      <c r="AA27" s="194"/>
      <c r="AB27" s="195"/>
    </row>
    <row r="28" spans="1:28">
      <c r="A28" s="216" t="s">
        <v>42</v>
      </c>
      <c r="B28" s="220" t="s">
        <v>20</v>
      </c>
      <c r="C28" s="24">
        <f>C29+C30+C34+C36+C42+C31+C35+C43+C44+C45</f>
        <v>7052.7</v>
      </c>
      <c r="D28" s="24">
        <f>D29+D30+D34+D36+D42+D31+D35+D43+D44+D45</f>
        <v>0</v>
      </c>
      <c r="E28" s="24">
        <f>E29+E30+E34+E36+E42+E31+E35+E43+E44+E45</f>
        <v>7052716.3899999997</v>
      </c>
      <c r="F28" s="24">
        <f>F29+F30+F34+F36+F42+F31+F35+F43+F44+F45</f>
        <v>6973.7163900000005</v>
      </c>
      <c r="G28" s="24">
        <f>G29+G30+G34+G36+G42+G31+G35+G43+G44+G45</f>
        <v>1.6390000000068738E-2</v>
      </c>
      <c r="H28" s="15">
        <f t="shared" ref="H28:N28" si="21">SUM(H29:H45)</f>
        <v>0</v>
      </c>
      <c r="I28" s="15">
        <f t="shared" si="21"/>
        <v>6369.8</v>
      </c>
      <c r="J28" s="15">
        <f t="shared" si="21"/>
        <v>0</v>
      </c>
      <c r="K28" s="218">
        <f t="shared" si="21"/>
        <v>0</v>
      </c>
      <c r="L28" s="24">
        <f t="shared" si="21"/>
        <v>19991584.880000003</v>
      </c>
      <c r="M28" s="219">
        <f t="shared" si="16"/>
        <v>19991584.880000003</v>
      </c>
      <c r="N28" s="24">
        <f t="shared" si="21"/>
        <v>0</v>
      </c>
      <c r="O28" s="24"/>
      <c r="P28" s="24"/>
      <c r="Q28" s="24">
        <f>SUM(Q29:Q45)</f>
        <v>32531745.879999999</v>
      </c>
      <c r="R28" s="24">
        <f t="shared" ref="R28:AB28" si="22">SUM(R29:R45)</f>
        <v>5042820</v>
      </c>
      <c r="S28" s="24">
        <f t="shared" si="22"/>
        <v>29178869</v>
      </c>
      <c r="T28" s="24">
        <f t="shared" si="22"/>
        <v>22945970</v>
      </c>
      <c r="U28" s="24">
        <f t="shared" si="22"/>
        <v>32006323</v>
      </c>
      <c r="V28" s="24">
        <f t="shared" si="22"/>
        <v>13567</v>
      </c>
      <c r="W28" s="24">
        <f t="shared" si="22"/>
        <v>0</v>
      </c>
      <c r="X28" s="24">
        <f t="shared" si="22"/>
        <v>32531745.879999999</v>
      </c>
      <c r="Y28" s="24">
        <f t="shared" si="22"/>
        <v>0</v>
      </c>
      <c r="Z28" s="24">
        <f t="shared" si="22"/>
        <v>29178869</v>
      </c>
      <c r="AA28" s="24">
        <f t="shared" si="22"/>
        <v>0</v>
      </c>
      <c r="AB28" s="24">
        <f t="shared" si="22"/>
        <v>32006323</v>
      </c>
    </row>
    <row r="29" spans="1:28" ht="14.45" customHeight="1">
      <c r="A29" s="171"/>
      <c r="B29" s="30" t="s">
        <v>21</v>
      </c>
      <c r="C29" s="25">
        <f>3236+2126</f>
        <v>5362</v>
      </c>
      <c r="D29" s="25"/>
      <c r="E29" s="25">
        <f>3236000+2126000</f>
        <v>5362000</v>
      </c>
      <c r="F29" s="116">
        <f t="shared" si="11"/>
        <v>5362</v>
      </c>
      <c r="G29" s="116">
        <f t="shared" si="12"/>
        <v>0</v>
      </c>
      <c r="H29" s="114"/>
      <c r="I29" s="114">
        <v>5412</v>
      </c>
      <c r="J29" s="114"/>
      <c r="K29" s="131">
        <v>0</v>
      </c>
      <c r="L29" s="195">
        <f t="shared" ref="L29:L45" si="23">W29+X29</f>
        <v>2314762</v>
      </c>
      <c r="M29" s="195">
        <f t="shared" si="16"/>
        <v>2314762</v>
      </c>
      <c r="N29" s="195">
        <v>0</v>
      </c>
      <c r="O29" s="195"/>
      <c r="P29" s="195"/>
      <c r="Q29" s="25">
        <f>W29+X29</f>
        <v>2314762</v>
      </c>
      <c r="R29" s="195">
        <v>1173820</v>
      </c>
      <c r="S29" s="25">
        <f t="shared" si="9"/>
        <v>1157381</v>
      </c>
      <c r="T29" s="195">
        <v>1157381</v>
      </c>
      <c r="U29" s="25">
        <f t="shared" si="10"/>
        <v>1157381</v>
      </c>
      <c r="V29" s="202">
        <v>906</v>
      </c>
      <c r="W29" s="194"/>
      <c r="X29" s="195">
        <f>2314762</f>
        <v>2314762</v>
      </c>
      <c r="Y29" s="194"/>
      <c r="Z29" s="195">
        <f>1157381</f>
        <v>1157381</v>
      </c>
      <c r="AA29" s="194"/>
      <c r="AB29" s="195">
        <f>1157381</f>
        <v>1157381</v>
      </c>
    </row>
    <row r="30" spans="1:28" ht="16.149999999999999" customHeight="1">
      <c r="A30" s="171"/>
      <c r="B30" s="30" t="s">
        <v>123</v>
      </c>
      <c r="C30" s="25">
        <v>500</v>
      </c>
      <c r="D30" s="25"/>
      <c r="E30" s="25">
        <v>500000</v>
      </c>
      <c r="F30" s="116">
        <f t="shared" si="11"/>
        <v>500</v>
      </c>
      <c r="G30" s="116">
        <f t="shared" si="12"/>
        <v>0</v>
      </c>
      <c r="H30" s="114"/>
      <c r="I30" s="114">
        <v>543.79999999999995</v>
      </c>
      <c r="J30" s="114"/>
      <c r="K30" s="131">
        <v>0</v>
      </c>
      <c r="L30" s="195">
        <f t="shared" si="23"/>
        <v>7945000</v>
      </c>
      <c r="M30" s="195">
        <f t="shared" si="16"/>
        <v>7945000</v>
      </c>
      <c r="N30" s="195">
        <v>0</v>
      </c>
      <c r="O30" s="195"/>
      <c r="P30" s="195"/>
      <c r="Q30" s="25">
        <f t="shared" si="8"/>
        <v>7945000</v>
      </c>
      <c r="R30" s="195">
        <v>1700000</v>
      </c>
      <c r="S30" s="25">
        <f t="shared" si="9"/>
        <v>4295000</v>
      </c>
      <c r="T30" s="195">
        <v>4295000</v>
      </c>
      <c r="U30" s="25">
        <f t="shared" si="10"/>
        <v>3795000</v>
      </c>
      <c r="V30" s="202">
        <v>906</v>
      </c>
      <c r="W30" s="194"/>
      <c r="X30" s="195">
        <v>7945000</v>
      </c>
      <c r="Y30" s="194"/>
      <c r="Z30" s="195">
        <v>4295000</v>
      </c>
      <c r="AA30" s="194"/>
      <c r="AB30" s="195">
        <v>3795000</v>
      </c>
    </row>
    <row r="31" spans="1:28" ht="23.25" customHeight="1">
      <c r="A31" s="171"/>
      <c r="B31" s="40" t="s">
        <v>120</v>
      </c>
      <c r="C31" s="25"/>
      <c r="D31" s="25"/>
      <c r="E31" s="25"/>
      <c r="F31" s="116">
        <f t="shared" si="11"/>
        <v>0</v>
      </c>
      <c r="G31" s="116">
        <f t="shared" si="12"/>
        <v>0</v>
      </c>
      <c r="H31" s="114"/>
      <c r="I31" s="114"/>
      <c r="J31" s="114"/>
      <c r="K31" s="131">
        <v>0</v>
      </c>
      <c r="L31" s="195">
        <f t="shared" si="23"/>
        <v>0</v>
      </c>
      <c r="M31" s="195">
        <f t="shared" si="16"/>
        <v>0</v>
      </c>
      <c r="N31" s="195">
        <v>0</v>
      </c>
      <c r="O31" s="195"/>
      <c r="P31" s="195"/>
      <c r="Q31" s="25">
        <f t="shared" si="8"/>
        <v>0</v>
      </c>
      <c r="R31" s="195">
        <v>0</v>
      </c>
      <c r="S31" s="25">
        <f t="shared" si="9"/>
        <v>1767100</v>
      </c>
      <c r="T31" s="195">
        <v>1767100</v>
      </c>
      <c r="U31" s="25">
        <f t="shared" si="10"/>
        <v>0</v>
      </c>
      <c r="V31" s="202">
        <v>905</v>
      </c>
      <c r="W31" s="194"/>
      <c r="X31" s="195"/>
      <c r="Y31" s="194"/>
      <c r="Z31" s="195">
        <v>1767100</v>
      </c>
      <c r="AA31" s="194"/>
      <c r="AB31" s="195"/>
    </row>
    <row r="32" spans="1:28" ht="36.75" customHeight="1">
      <c r="A32" s="171"/>
      <c r="B32" s="203" t="s">
        <v>172</v>
      </c>
      <c r="C32" s="25"/>
      <c r="D32" s="25"/>
      <c r="E32" s="25"/>
      <c r="F32" s="116"/>
      <c r="G32" s="116"/>
      <c r="H32" s="114"/>
      <c r="I32" s="114"/>
      <c r="J32" s="114"/>
      <c r="K32" s="131"/>
      <c r="L32" s="195"/>
      <c r="M32" s="195"/>
      <c r="N32" s="195"/>
      <c r="O32" s="195"/>
      <c r="P32" s="195"/>
      <c r="Q32" s="25">
        <f t="shared" si="8"/>
        <v>0</v>
      </c>
      <c r="R32" s="195"/>
      <c r="S32" s="25">
        <f t="shared" ref="S32" si="24">Y32+Z32</f>
        <v>8000000</v>
      </c>
      <c r="T32" s="195">
        <v>1767101</v>
      </c>
      <c r="U32" s="25">
        <f t="shared" ref="U32" si="25">AA32+AB32</f>
        <v>21010000</v>
      </c>
      <c r="V32" s="202">
        <v>905</v>
      </c>
      <c r="W32" s="194"/>
      <c r="X32" s="195"/>
      <c r="Y32" s="194"/>
      <c r="Z32" s="195">
        <v>8000000</v>
      </c>
      <c r="AA32" s="194"/>
      <c r="AB32" s="195">
        <v>21010000</v>
      </c>
    </row>
    <row r="33" spans="1:28" ht="24.75">
      <c r="A33" s="171"/>
      <c r="B33" s="121" t="s">
        <v>88</v>
      </c>
      <c r="C33" s="25"/>
      <c r="D33" s="25"/>
      <c r="E33" s="25"/>
      <c r="F33" s="116"/>
      <c r="G33" s="116"/>
      <c r="H33" s="114"/>
      <c r="I33" s="114"/>
      <c r="J33" s="114"/>
      <c r="K33" s="131">
        <v>0</v>
      </c>
      <c r="L33" s="195">
        <f t="shared" si="23"/>
        <v>5001000</v>
      </c>
      <c r="M33" s="195">
        <f t="shared" si="16"/>
        <v>5001000</v>
      </c>
      <c r="N33" s="195">
        <v>0</v>
      </c>
      <c r="O33" s="195"/>
      <c r="P33" s="195"/>
      <c r="Q33" s="25">
        <f t="shared" si="8"/>
        <v>5001000</v>
      </c>
      <c r="R33" s="195">
        <v>1500000</v>
      </c>
      <c r="S33" s="25">
        <f t="shared" si="9"/>
        <v>2701000</v>
      </c>
      <c r="T33" s="195">
        <v>2701000</v>
      </c>
      <c r="U33" s="25">
        <f t="shared" si="10"/>
        <v>2988900</v>
      </c>
      <c r="V33" s="202">
        <v>906</v>
      </c>
      <c r="W33" s="194"/>
      <c r="X33" s="195">
        <v>5001000</v>
      </c>
      <c r="Y33" s="194"/>
      <c r="Z33" s="195">
        <v>2701000</v>
      </c>
      <c r="AA33" s="194"/>
      <c r="AB33" s="195">
        <v>2988900</v>
      </c>
    </row>
    <row r="34" spans="1:28" ht="15" customHeight="1">
      <c r="A34" s="171"/>
      <c r="B34" s="30" t="s">
        <v>89</v>
      </c>
      <c r="C34" s="25">
        <v>508.9</v>
      </c>
      <c r="D34" s="25"/>
      <c r="E34" s="25">
        <v>508947.39</v>
      </c>
      <c r="F34" s="116">
        <f t="shared" si="11"/>
        <v>508.94739000000004</v>
      </c>
      <c r="G34" s="116">
        <f t="shared" si="12"/>
        <v>4.7390000000063992E-2</v>
      </c>
      <c r="H34" s="114"/>
      <c r="I34" s="114">
        <v>111</v>
      </c>
      <c r="J34" s="114"/>
      <c r="K34" s="131">
        <v>0</v>
      </c>
      <c r="L34" s="195">
        <f t="shared" si="23"/>
        <v>182000</v>
      </c>
      <c r="M34" s="195">
        <f t="shared" si="16"/>
        <v>182000</v>
      </c>
      <c r="N34" s="195">
        <v>0</v>
      </c>
      <c r="O34" s="195"/>
      <c r="P34" s="195"/>
      <c r="Q34" s="25">
        <f t="shared" si="8"/>
        <v>182000</v>
      </c>
      <c r="R34" s="195">
        <v>109000</v>
      </c>
      <c r="S34" s="25">
        <f t="shared" si="9"/>
        <v>109000</v>
      </c>
      <c r="T34" s="195">
        <v>109000</v>
      </c>
      <c r="U34" s="25">
        <f t="shared" si="10"/>
        <v>109000</v>
      </c>
      <c r="V34" s="202">
        <v>902</v>
      </c>
      <c r="W34" s="194"/>
      <c r="X34" s="195">
        <v>182000</v>
      </c>
      <c r="Y34" s="194"/>
      <c r="Z34" s="195">
        <v>109000</v>
      </c>
      <c r="AA34" s="194"/>
      <c r="AB34" s="195">
        <v>109000</v>
      </c>
    </row>
    <row r="35" spans="1:28" ht="42.75" customHeight="1">
      <c r="A35" s="171"/>
      <c r="B35" s="30" t="s">
        <v>31</v>
      </c>
      <c r="C35" s="16">
        <v>31.3</v>
      </c>
      <c r="D35" s="16"/>
      <c r="E35" s="25">
        <v>31250</v>
      </c>
      <c r="F35" s="116">
        <f t="shared" si="11"/>
        <v>31.25</v>
      </c>
      <c r="G35" s="116">
        <f t="shared" si="12"/>
        <v>-5.0000000000000711E-2</v>
      </c>
      <c r="H35" s="114"/>
      <c r="I35" s="114">
        <v>32</v>
      </c>
      <c r="J35" s="114"/>
      <c r="K35" s="131">
        <v>0</v>
      </c>
      <c r="L35" s="195">
        <f t="shared" si="23"/>
        <v>144000</v>
      </c>
      <c r="M35" s="195">
        <f t="shared" si="16"/>
        <v>144000</v>
      </c>
      <c r="N35" s="195">
        <v>0</v>
      </c>
      <c r="O35" s="195"/>
      <c r="P35" s="195"/>
      <c r="Q35" s="25">
        <f t="shared" si="8"/>
        <v>144000</v>
      </c>
      <c r="R35" s="195">
        <v>105000</v>
      </c>
      <c r="S35" s="25">
        <f t="shared" si="9"/>
        <v>144000</v>
      </c>
      <c r="T35" s="195">
        <v>144000</v>
      </c>
      <c r="U35" s="25">
        <f t="shared" si="10"/>
        <v>144000</v>
      </c>
      <c r="V35" s="202">
        <v>902</v>
      </c>
      <c r="W35" s="194"/>
      <c r="X35" s="195">
        <v>144000</v>
      </c>
      <c r="Y35" s="194"/>
      <c r="Z35" s="195">
        <v>144000</v>
      </c>
      <c r="AA35" s="194"/>
      <c r="AB35" s="195">
        <v>144000</v>
      </c>
    </row>
    <row r="36" spans="1:28" ht="24">
      <c r="A36" s="171"/>
      <c r="B36" s="165" t="s">
        <v>28</v>
      </c>
      <c r="C36" s="16">
        <v>571.5</v>
      </c>
      <c r="D36" s="16"/>
      <c r="E36" s="25">
        <v>571519</v>
      </c>
      <c r="F36" s="116">
        <f t="shared" si="11"/>
        <v>571.51900000000001</v>
      </c>
      <c r="G36" s="116">
        <f t="shared" si="12"/>
        <v>1.9000000000005457E-2</v>
      </c>
      <c r="H36" s="114"/>
      <c r="I36" s="114">
        <v>271</v>
      </c>
      <c r="J36" s="114"/>
      <c r="K36" s="131">
        <v>0</v>
      </c>
      <c r="L36" s="195">
        <f t="shared" si="23"/>
        <v>387324</v>
      </c>
      <c r="M36" s="195">
        <f t="shared" si="16"/>
        <v>387324</v>
      </c>
      <c r="N36" s="195">
        <v>0</v>
      </c>
      <c r="O36" s="195"/>
      <c r="P36" s="195"/>
      <c r="Q36" s="25">
        <f t="shared" si="8"/>
        <v>387324</v>
      </c>
      <c r="R36" s="195">
        <v>455000</v>
      </c>
      <c r="S36" s="25">
        <f t="shared" si="9"/>
        <v>387324</v>
      </c>
      <c r="T36" s="195">
        <v>387324</v>
      </c>
      <c r="U36" s="25">
        <f t="shared" si="10"/>
        <v>387324</v>
      </c>
      <c r="V36" s="202">
        <v>902</v>
      </c>
      <c r="W36" s="194"/>
      <c r="X36" s="195">
        <v>387324</v>
      </c>
      <c r="Y36" s="194"/>
      <c r="Z36" s="195">
        <v>387324</v>
      </c>
      <c r="AA36" s="194"/>
      <c r="AB36" s="195">
        <v>387324</v>
      </c>
    </row>
    <row r="37" spans="1:28" ht="24">
      <c r="A37" s="171"/>
      <c r="B37" s="165" t="s">
        <v>157</v>
      </c>
      <c r="C37" s="16"/>
      <c r="D37" s="16"/>
      <c r="E37" s="25"/>
      <c r="F37" s="116"/>
      <c r="G37" s="116"/>
      <c r="H37" s="114"/>
      <c r="I37" s="114"/>
      <c r="J37" s="114"/>
      <c r="K37" s="131"/>
      <c r="L37" s="195"/>
      <c r="M37" s="195"/>
      <c r="N37" s="195"/>
      <c r="O37" s="195"/>
      <c r="P37" s="195"/>
      <c r="Q37" s="25">
        <f t="shared" si="8"/>
        <v>0</v>
      </c>
      <c r="R37" s="195"/>
      <c r="S37" s="25">
        <f t="shared" si="9"/>
        <v>5000000</v>
      </c>
      <c r="T37" s="195">
        <v>5000000</v>
      </c>
      <c r="U37" s="25">
        <f t="shared" si="10"/>
        <v>0</v>
      </c>
      <c r="V37" s="202">
        <v>902</v>
      </c>
      <c r="W37" s="194"/>
      <c r="X37" s="195">
        <v>0</v>
      </c>
      <c r="Y37" s="194"/>
      <c r="Z37" s="195">
        <v>5000000</v>
      </c>
      <c r="AA37" s="194"/>
      <c r="AB37" s="195"/>
    </row>
    <row r="38" spans="1:28" ht="24">
      <c r="A38" s="171"/>
      <c r="B38" s="165" t="s">
        <v>155</v>
      </c>
      <c r="C38" s="16"/>
      <c r="D38" s="16"/>
      <c r="E38" s="25"/>
      <c r="F38" s="116"/>
      <c r="G38" s="116"/>
      <c r="H38" s="114"/>
      <c r="I38" s="114"/>
      <c r="J38" s="114"/>
      <c r="K38" s="131"/>
      <c r="L38" s="195"/>
      <c r="M38" s="195"/>
      <c r="N38" s="195"/>
      <c r="O38" s="195"/>
      <c r="P38" s="195"/>
      <c r="Q38" s="25">
        <f t="shared" si="8"/>
        <v>10000000</v>
      </c>
      <c r="R38" s="195"/>
      <c r="S38" s="25">
        <f t="shared" si="9"/>
        <v>5000000</v>
      </c>
      <c r="T38" s="195">
        <v>5000000</v>
      </c>
      <c r="U38" s="25">
        <f t="shared" si="10"/>
        <v>0</v>
      </c>
      <c r="V38" s="202">
        <v>902</v>
      </c>
      <c r="W38" s="194"/>
      <c r="X38" s="195">
        <v>10000000</v>
      </c>
      <c r="Y38" s="194"/>
      <c r="Z38" s="195">
        <v>5000000</v>
      </c>
      <c r="AA38" s="194"/>
      <c r="AB38" s="195"/>
    </row>
    <row r="39" spans="1:28" ht="24">
      <c r="A39" s="171"/>
      <c r="B39" s="165" t="s">
        <v>156</v>
      </c>
      <c r="C39" s="16"/>
      <c r="D39" s="16"/>
      <c r="E39" s="25"/>
      <c r="F39" s="116"/>
      <c r="G39" s="116"/>
      <c r="H39" s="114"/>
      <c r="I39" s="114"/>
      <c r="J39" s="114"/>
      <c r="K39" s="131"/>
      <c r="L39" s="195"/>
      <c r="M39" s="195"/>
      <c r="N39" s="195"/>
      <c r="O39" s="195"/>
      <c r="P39" s="195"/>
      <c r="Q39" s="25">
        <f t="shared" si="8"/>
        <v>600000</v>
      </c>
      <c r="R39" s="195"/>
      <c r="S39" s="25">
        <f t="shared" si="9"/>
        <v>600000</v>
      </c>
      <c r="T39" s="195">
        <v>600000</v>
      </c>
      <c r="U39" s="25">
        <f t="shared" si="10"/>
        <v>600000</v>
      </c>
      <c r="V39" s="202">
        <v>906</v>
      </c>
      <c r="W39" s="194"/>
      <c r="X39" s="195">
        <v>600000</v>
      </c>
      <c r="Y39" s="194"/>
      <c r="Z39" s="195">
        <v>600000</v>
      </c>
      <c r="AA39" s="194"/>
      <c r="AB39" s="195">
        <v>600000</v>
      </c>
    </row>
    <row r="40" spans="1:28" ht="24">
      <c r="A40" s="171"/>
      <c r="B40" s="165" t="s">
        <v>153</v>
      </c>
      <c r="C40" s="16"/>
      <c r="D40" s="16"/>
      <c r="E40" s="25"/>
      <c r="F40" s="116"/>
      <c r="G40" s="116"/>
      <c r="H40" s="114"/>
      <c r="I40" s="114"/>
      <c r="J40" s="114"/>
      <c r="K40" s="131"/>
      <c r="L40" s="195"/>
      <c r="M40" s="195"/>
      <c r="N40" s="195"/>
      <c r="O40" s="195"/>
      <c r="P40" s="195"/>
      <c r="Q40" s="25">
        <f t="shared" si="8"/>
        <v>0</v>
      </c>
      <c r="R40" s="195"/>
      <c r="S40" s="25">
        <f t="shared" si="9"/>
        <v>0</v>
      </c>
      <c r="T40" s="195"/>
      <c r="U40" s="25">
        <f t="shared" si="10"/>
        <v>1814718</v>
      </c>
      <c r="V40" s="202">
        <v>904</v>
      </c>
      <c r="W40" s="194"/>
      <c r="X40" s="195"/>
      <c r="Y40" s="194"/>
      <c r="Z40" s="195"/>
      <c r="AA40" s="194"/>
      <c r="AB40" s="195">
        <v>1814718</v>
      </c>
    </row>
    <row r="41" spans="1:28" ht="24">
      <c r="A41" s="171"/>
      <c r="B41" s="30" t="s">
        <v>175</v>
      </c>
      <c r="C41" s="16"/>
      <c r="D41" s="16"/>
      <c r="E41" s="25"/>
      <c r="F41" s="116"/>
      <c r="G41" s="116"/>
      <c r="H41" s="114"/>
      <c r="I41" s="114"/>
      <c r="J41" s="114"/>
      <c r="K41" s="131"/>
      <c r="L41" s="195"/>
      <c r="M41" s="195"/>
      <c r="N41" s="195"/>
      <c r="O41" s="195"/>
      <c r="P41" s="195"/>
      <c r="Q41" s="25">
        <f t="shared" ref="Q41" si="26">W41+X41</f>
        <v>1940161</v>
      </c>
      <c r="R41" s="195"/>
      <c r="S41" s="25">
        <f t="shared" ref="S41" si="27">Y41+Z41</f>
        <v>0</v>
      </c>
      <c r="T41" s="195"/>
      <c r="U41" s="25">
        <f t="shared" ref="U41" si="28">AA41+AB41</f>
        <v>0</v>
      </c>
      <c r="V41" s="202">
        <v>907</v>
      </c>
      <c r="W41" s="194"/>
      <c r="X41" s="195">
        <v>1940161</v>
      </c>
      <c r="Y41" s="194"/>
      <c r="Z41" s="195"/>
      <c r="AA41" s="194"/>
      <c r="AB41" s="195"/>
    </row>
    <row r="42" spans="1:28" ht="37.5" customHeight="1">
      <c r="A42" s="171"/>
      <c r="B42" s="165" t="s">
        <v>170</v>
      </c>
      <c r="C42" s="16"/>
      <c r="D42" s="16"/>
      <c r="E42" s="25"/>
      <c r="F42" s="116">
        <f t="shared" si="11"/>
        <v>0</v>
      </c>
      <c r="G42" s="116">
        <f t="shared" si="12"/>
        <v>0</v>
      </c>
      <c r="H42" s="114"/>
      <c r="I42" s="114"/>
      <c r="J42" s="114"/>
      <c r="K42" s="131"/>
      <c r="L42" s="195">
        <f t="shared" si="23"/>
        <v>17498.88</v>
      </c>
      <c r="M42" s="195">
        <f t="shared" si="16"/>
        <v>17498.88</v>
      </c>
      <c r="N42" s="195">
        <v>0</v>
      </c>
      <c r="O42" s="195"/>
      <c r="P42" s="195"/>
      <c r="Q42" s="25">
        <f t="shared" si="8"/>
        <v>17498.88</v>
      </c>
      <c r="R42" s="195">
        <v>0</v>
      </c>
      <c r="S42" s="25">
        <f t="shared" si="9"/>
        <v>18064</v>
      </c>
      <c r="T42" s="195">
        <v>18064</v>
      </c>
      <c r="U42" s="25">
        <f t="shared" si="10"/>
        <v>0</v>
      </c>
      <c r="V42" s="202">
        <v>907</v>
      </c>
      <c r="W42" s="194"/>
      <c r="X42" s="195">
        <f>18064-565.12</f>
        <v>17498.88</v>
      </c>
      <c r="Y42" s="194"/>
      <c r="Z42" s="195">
        <v>18064</v>
      </c>
      <c r="AA42" s="194"/>
      <c r="AB42" s="195"/>
    </row>
    <row r="43" spans="1:28">
      <c r="A43" s="171"/>
      <c r="B43" s="165" t="s">
        <v>163</v>
      </c>
      <c r="C43" s="16"/>
      <c r="D43" s="16"/>
      <c r="E43" s="25"/>
      <c r="F43" s="116">
        <f t="shared" si="11"/>
        <v>0</v>
      </c>
      <c r="G43" s="116">
        <f t="shared" si="12"/>
        <v>0</v>
      </c>
      <c r="H43" s="114"/>
      <c r="I43" s="114"/>
      <c r="J43" s="114"/>
      <c r="K43" s="131"/>
      <c r="L43" s="195">
        <f t="shared" si="23"/>
        <v>4000000</v>
      </c>
      <c r="M43" s="195">
        <f t="shared" si="16"/>
        <v>4000000</v>
      </c>
      <c r="N43" s="195">
        <v>0</v>
      </c>
      <c r="O43" s="195"/>
      <c r="P43" s="195"/>
      <c r="Q43" s="25">
        <f t="shared" si="8"/>
        <v>4000000</v>
      </c>
      <c r="R43" s="195">
        <v>0</v>
      </c>
      <c r="S43" s="25">
        <f t="shared" si="9"/>
        <v>0</v>
      </c>
      <c r="T43" s="195"/>
      <c r="U43" s="25">
        <f t="shared" si="10"/>
        <v>0</v>
      </c>
      <c r="V43" s="202">
        <v>905</v>
      </c>
      <c r="W43" s="194"/>
      <c r="X43" s="195">
        <v>4000000</v>
      </c>
      <c r="Y43" s="194"/>
      <c r="Z43" s="195"/>
      <c r="AA43" s="194"/>
      <c r="AB43" s="195"/>
    </row>
    <row r="44" spans="1:28" ht="24" hidden="1">
      <c r="A44" s="171"/>
      <c r="B44" s="165" t="s">
        <v>33</v>
      </c>
      <c r="C44" s="16"/>
      <c r="D44" s="16"/>
      <c r="E44" s="25"/>
      <c r="F44" s="116">
        <f t="shared" si="11"/>
        <v>0</v>
      </c>
      <c r="G44" s="116">
        <f t="shared" si="12"/>
        <v>0</v>
      </c>
      <c r="H44" s="114"/>
      <c r="I44" s="114"/>
      <c r="J44" s="114"/>
      <c r="K44" s="131"/>
      <c r="L44" s="195">
        <f t="shared" si="23"/>
        <v>0</v>
      </c>
      <c r="M44" s="195">
        <f t="shared" si="16"/>
        <v>0</v>
      </c>
      <c r="N44" s="195">
        <v>0</v>
      </c>
      <c r="O44" s="195"/>
      <c r="P44" s="195"/>
      <c r="Q44" s="25">
        <f t="shared" si="8"/>
        <v>0</v>
      </c>
      <c r="R44" s="195">
        <v>0</v>
      </c>
      <c r="S44" s="25">
        <f t="shared" si="9"/>
        <v>0</v>
      </c>
      <c r="T44" s="195"/>
      <c r="U44" s="25">
        <f t="shared" si="10"/>
        <v>0</v>
      </c>
      <c r="V44" s="202"/>
      <c r="W44" s="194"/>
      <c r="X44" s="195"/>
      <c r="Y44" s="194"/>
      <c r="Z44" s="195"/>
      <c r="AA44" s="194"/>
      <c r="AB44" s="195"/>
    </row>
    <row r="45" spans="1:28" ht="24" hidden="1">
      <c r="A45" s="171"/>
      <c r="B45" s="165" t="s">
        <v>50</v>
      </c>
      <c r="C45" s="16">
        <v>79</v>
      </c>
      <c r="D45" s="16"/>
      <c r="E45" s="25">
        <v>79000</v>
      </c>
      <c r="F45" s="116"/>
      <c r="G45" s="116"/>
      <c r="H45" s="114"/>
      <c r="I45" s="114"/>
      <c r="J45" s="114"/>
      <c r="K45" s="131"/>
      <c r="L45" s="195">
        <f t="shared" si="23"/>
        <v>0</v>
      </c>
      <c r="M45" s="195">
        <f t="shared" si="16"/>
        <v>0</v>
      </c>
      <c r="N45" s="195">
        <v>0</v>
      </c>
      <c r="O45" s="195"/>
      <c r="P45" s="195"/>
      <c r="Q45" s="25">
        <f t="shared" si="8"/>
        <v>0</v>
      </c>
      <c r="R45" s="195">
        <v>0</v>
      </c>
      <c r="S45" s="25">
        <f t="shared" si="9"/>
        <v>0</v>
      </c>
      <c r="T45" s="195"/>
      <c r="U45" s="25">
        <f t="shared" si="10"/>
        <v>0</v>
      </c>
      <c r="V45" s="202"/>
      <c r="W45" s="194"/>
      <c r="X45" s="195"/>
      <c r="Y45" s="194"/>
      <c r="Z45" s="195"/>
      <c r="AA45" s="194"/>
      <c r="AB45" s="195"/>
    </row>
    <row r="46" spans="1:28" ht="16.899999999999999" customHeight="1">
      <c r="A46" s="216" t="s">
        <v>43</v>
      </c>
      <c r="B46" s="217" t="s">
        <v>3</v>
      </c>
      <c r="C46" s="221">
        <f>C47+C59+C60+C61+C63</f>
        <v>726424</v>
      </c>
      <c r="D46" s="221">
        <f>D47+D59+D60+D61+D63</f>
        <v>0</v>
      </c>
      <c r="E46" s="221">
        <f>E47+E59+E60+E61+E63</f>
        <v>726423994</v>
      </c>
      <c r="F46" s="221">
        <f>F47+F59+F60+F61+F63</f>
        <v>726423.99399999995</v>
      </c>
      <c r="G46" s="221">
        <f>G47+G59+G60+G61+G63</f>
        <v>-6.0000000003128662E-3</v>
      </c>
      <c r="H46" s="221">
        <f t="shared" ref="H46:N46" si="29">H47+H59+H60+H61+H63+H64</f>
        <v>608092</v>
      </c>
      <c r="I46" s="221">
        <f t="shared" si="29"/>
        <v>774941</v>
      </c>
      <c r="J46" s="221">
        <f t="shared" si="29"/>
        <v>696541</v>
      </c>
      <c r="K46" s="222">
        <f t="shared" si="29"/>
        <v>545714</v>
      </c>
      <c r="L46" s="204">
        <f t="shared" si="29"/>
        <v>969493522</v>
      </c>
      <c r="M46" s="204">
        <f t="shared" si="29"/>
        <v>968947808</v>
      </c>
      <c r="N46" s="204">
        <f t="shared" si="29"/>
        <v>417933</v>
      </c>
      <c r="O46" s="204"/>
      <c r="P46" s="204"/>
      <c r="Q46" s="24">
        <f>Q47+Q59+Q60+Q61+Q62+Q63+Q64</f>
        <v>971011622</v>
      </c>
      <c r="R46" s="24">
        <f t="shared" ref="R46:AB46" si="30">R47+R59+R60+R61+R62+R63+R64</f>
        <v>891169400</v>
      </c>
      <c r="S46" s="24">
        <f t="shared" si="30"/>
        <v>964498001</v>
      </c>
      <c r="T46" s="24">
        <f t="shared" si="30"/>
        <v>1065705001</v>
      </c>
      <c r="U46" s="24">
        <f t="shared" si="30"/>
        <v>1119375814</v>
      </c>
      <c r="V46" s="24"/>
      <c r="W46" s="24">
        <f t="shared" si="30"/>
        <v>3714622</v>
      </c>
      <c r="X46" s="24">
        <f t="shared" si="30"/>
        <v>967297000</v>
      </c>
      <c r="Y46" s="24">
        <f t="shared" si="30"/>
        <v>14210001</v>
      </c>
      <c r="Z46" s="24">
        <f t="shared" si="30"/>
        <v>950288000</v>
      </c>
      <c r="AA46" s="24">
        <f t="shared" si="30"/>
        <v>14886814</v>
      </c>
      <c r="AB46" s="24">
        <f t="shared" si="30"/>
        <v>1104489000</v>
      </c>
    </row>
    <row r="47" spans="1:28" ht="24.6" customHeight="1">
      <c r="A47" s="216" t="s">
        <v>44</v>
      </c>
      <c r="B47" s="217" t="s">
        <v>4</v>
      </c>
      <c r="C47" s="221">
        <f>SUM(C48:C58)</f>
        <v>691386</v>
      </c>
      <c r="D47" s="221">
        <f>SUM(D48:D58)</f>
        <v>0</v>
      </c>
      <c r="E47" s="204">
        <f>SUM(E48:E58)</f>
        <v>691386000</v>
      </c>
      <c r="F47" s="223">
        <f t="shared" si="11"/>
        <v>691386</v>
      </c>
      <c r="G47" s="223">
        <f>F47-C47</f>
        <v>0</v>
      </c>
      <c r="H47" s="221">
        <f t="shared" ref="H47:N47" si="31">SUM(H48:H58)</f>
        <v>576319</v>
      </c>
      <c r="I47" s="221">
        <f t="shared" si="31"/>
        <v>739626</v>
      </c>
      <c r="J47" s="221">
        <f t="shared" si="31"/>
        <v>662922</v>
      </c>
      <c r="K47" s="222">
        <f t="shared" si="31"/>
        <v>510529</v>
      </c>
      <c r="L47" s="204">
        <f t="shared" si="31"/>
        <v>917883000</v>
      </c>
      <c r="M47" s="204">
        <f t="shared" si="31"/>
        <v>917372471</v>
      </c>
      <c r="N47" s="204">
        <f t="shared" si="31"/>
        <v>383394</v>
      </c>
      <c r="O47" s="204"/>
      <c r="P47" s="204"/>
      <c r="Q47" s="24">
        <f>SUM(Q48:Q58)</f>
        <v>919397000</v>
      </c>
      <c r="R47" s="24">
        <f t="shared" ref="R47:AB47" si="32">SUM(R48:R58)</f>
        <v>800982000</v>
      </c>
      <c r="S47" s="24">
        <f t="shared" si="32"/>
        <v>867867000</v>
      </c>
      <c r="T47" s="24">
        <f t="shared" si="32"/>
        <v>936559000</v>
      </c>
      <c r="U47" s="24">
        <f t="shared" si="32"/>
        <v>1021364000</v>
      </c>
      <c r="V47" s="24"/>
      <c r="W47" s="24">
        <f t="shared" si="32"/>
        <v>0</v>
      </c>
      <c r="X47" s="24">
        <f t="shared" si="32"/>
        <v>919397000</v>
      </c>
      <c r="Y47" s="24">
        <f t="shared" si="32"/>
        <v>0</v>
      </c>
      <c r="Z47" s="24">
        <f t="shared" si="32"/>
        <v>867867000</v>
      </c>
      <c r="AA47" s="24">
        <f t="shared" si="32"/>
        <v>0</v>
      </c>
      <c r="AB47" s="24">
        <f t="shared" si="32"/>
        <v>1021364000</v>
      </c>
    </row>
    <row r="48" spans="1:28" ht="50.45" customHeight="1">
      <c r="A48" s="171"/>
      <c r="B48" s="165" t="s">
        <v>5</v>
      </c>
      <c r="C48" s="122">
        <v>386036</v>
      </c>
      <c r="D48" s="123"/>
      <c r="E48" s="124">
        <v>386036000</v>
      </c>
      <c r="F48" s="116">
        <f t="shared" si="11"/>
        <v>386036</v>
      </c>
      <c r="G48" s="116">
        <f t="shared" si="12"/>
        <v>0</v>
      </c>
      <c r="H48" s="114">
        <v>334797</v>
      </c>
      <c r="I48" s="114">
        <v>430728</v>
      </c>
      <c r="J48" s="114">
        <v>385292</v>
      </c>
      <c r="K48" s="131">
        <v>300084</v>
      </c>
      <c r="L48" s="195">
        <f t="shared" ref="L48:L67" si="33">W48+X48</f>
        <v>536533000</v>
      </c>
      <c r="M48" s="195">
        <f t="shared" ref="M48:M67" si="34">L48-K48</f>
        <v>536232916</v>
      </c>
      <c r="N48" s="195">
        <v>224097</v>
      </c>
      <c r="O48" s="195"/>
      <c r="P48" s="195"/>
      <c r="Q48" s="25">
        <f t="shared" si="8"/>
        <v>536533000</v>
      </c>
      <c r="R48" s="195">
        <v>449375000</v>
      </c>
      <c r="S48" s="25">
        <f t="shared" si="9"/>
        <v>490287000</v>
      </c>
      <c r="T48" s="195">
        <v>536543000</v>
      </c>
      <c r="U48" s="25">
        <f t="shared" si="10"/>
        <v>591491000</v>
      </c>
      <c r="V48" s="202">
        <v>906</v>
      </c>
      <c r="W48" s="194"/>
      <c r="X48" s="195">
        <v>536533000</v>
      </c>
      <c r="Y48" s="194"/>
      <c r="Z48" s="195">
        <v>490287000</v>
      </c>
      <c r="AA48" s="194"/>
      <c r="AB48" s="195">
        <v>591491000</v>
      </c>
    </row>
    <row r="49" spans="1:29" ht="28.15" customHeight="1">
      <c r="A49" s="171"/>
      <c r="B49" s="165" t="s">
        <v>6</v>
      </c>
      <c r="C49" s="122">
        <v>295813</v>
      </c>
      <c r="D49" s="123"/>
      <c r="E49" s="124">
        <v>295813000</v>
      </c>
      <c r="F49" s="116">
        <f t="shared" si="11"/>
        <v>295813</v>
      </c>
      <c r="G49" s="116">
        <f t="shared" si="12"/>
        <v>0</v>
      </c>
      <c r="H49" s="114">
        <v>231806</v>
      </c>
      <c r="I49" s="114">
        <v>299172</v>
      </c>
      <c r="J49" s="114">
        <v>267660</v>
      </c>
      <c r="K49" s="131">
        <v>199795</v>
      </c>
      <c r="L49" s="195">
        <f t="shared" si="33"/>
        <v>362453000</v>
      </c>
      <c r="M49" s="195">
        <f t="shared" si="34"/>
        <v>362253205</v>
      </c>
      <c r="N49" s="195">
        <v>148579</v>
      </c>
      <c r="O49" s="195"/>
      <c r="P49" s="195"/>
      <c r="Q49" s="25">
        <f t="shared" si="8"/>
        <v>362453000</v>
      </c>
      <c r="R49" s="195">
        <v>339524000</v>
      </c>
      <c r="S49" s="25">
        <f t="shared" si="9"/>
        <v>357193000</v>
      </c>
      <c r="T49" s="195">
        <v>379629000</v>
      </c>
      <c r="U49" s="25">
        <f t="shared" si="10"/>
        <v>409103000</v>
      </c>
      <c r="V49" s="202">
        <v>906</v>
      </c>
      <c r="W49" s="194"/>
      <c r="X49" s="195">
        <v>362453000</v>
      </c>
      <c r="Y49" s="194"/>
      <c r="Z49" s="195">
        <v>357193000</v>
      </c>
      <c r="AA49" s="194"/>
      <c r="AB49" s="195">
        <v>409103000</v>
      </c>
    </row>
    <row r="50" spans="1:29" ht="25.15" customHeight="1">
      <c r="A50" s="171"/>
      <c r="B50" s="165" t="s">
        <v>7</v>
      </c>
      <c r="C50" s="122">
        <v>6199</v>
      </c>
      <c r="D50" s="123"/>
      <c r="E50" s="124">
        <v>6199000</v>
      </c>
      <c r="F50" s="116">
        <f t="shared" si="11"/>
        <v>6199</v>
      </c>
      <c r="G50" s="116">
        <f t="shared" si="12"/>
        <v>0</v>
      </c>
      <c r="H50" s="114">
        <v>6291</v>
      </c>
      <c r="I50" s="114">
        <v>6291</v>
      </c>
      <c r="J50" s="114">
        <v>6463</v>
      </c>
      <c r="K50" s="131">
        <v>5889</v>
      </c>
      <c r="L50" s="195">
        <f t="shared" si="33"/>
        <v>7478000</v>
      </c>
      <c r="M50" s="195">
        <f t="shared" si="34"/>
        <v>7472111</v>
      </c>
      <c r="N50" s="195">
        <v>5889</v>
      </c>
      <c r="O50" s="195"/>
      <c r="P50" s="195"/>
      <c r="Q50" s="25">
        <f t="shared" si="8"/>
        <v>7478000</v>
      </c>
      <c r="R50" s="195">
        <v>6515000</v>
      </c>
      <c r="S50" s="25">
        <f t="shared" si="9"/>
        <v>7478000</v>
      </c>
      <c r="T50" s="195">
        <v>7478000</v>
      </c>
      <c r="U50" s="25">
        <f t="shared" si="10"/>
        <v>7478000</v>
      </c>
      <c r="V50" s="202">
        <v>906</v>
      </c>
      <c r="W50" s="194"/>
      <c r="X50" s="195">
        <v>7478000</v>
      </c>
      <c r="Y50" s="194"/>
      <c r="Z50" s="195">
        <v>7478000</v>
      </c>
      <c r="AA50" s="194"/>
      <c r="AB50" s="195">
        <v>7478000</v>
      </c>
    </row>
    <row r="51" spans="1:29" ht="34.5" customHeight="1">
      <c r="A51" s="171"/>
      <c r="B51" s="165" t="s">
        <v>8</v>
      </c>
      <c r="C51" s="122">
        <v>2</v>
      </c>
      <c r="D51" s="123"/>
      <c r="E51" s="124">
        <v>2000</v>
      </c>
      <c r="F51" s="116">
        <f t="shared" si="11"/>
        <v>2</v>
      </c>
      <c r="G51" s="116">
        <f t="shared" si="12"/>
        <v>0</v>
      </c>
      <c r="H51" s="114">
        <v>2</v>
      </c>
      <c r="I51" s="114">
        <v>2</v>
      </c>
      <c r="J51" s="114">
        <v>2</v>
      </c>
      <c r="K51" s="131">
        <v>2</v>
      </c>
      <c r="L51" s="195">
        <f t="shared" si="33"/>
        <v>2000</v>
      </c>
      <c r="M51" s="195">
        <f t="shared" si="34"/>
        <v>1998</v>
      </c>
      <c r="N51" s="195">
        <v>2</v>
      </c>
      <c r="O51" s="195"/>
      <c r="P51" s="195"/>
      <c r="Q51" s="25">
        <f t="shared" si="8"/>
        <v>2000</v>
      </c>
      <c r="R51" s="195">
        <v>2000</v>
      </c>
      <c r="S51" s="25">
        <f t="shared" si="9"/>
        <v>2000</v>
      </c>
      <c r="T51" s="195">
        <v>2000</v>
      </c>
      <c r="U51" s="25">
        <f t="shared" si="10"/>
        <v>2000</v>
      </c>
      <c r="V51" s="202">
        <v>902</v>
      </c>
      <c r="W51" s="194"/>
      <c r="X51" s="195">
        <v>2000</v>
      </c>
      <c r="Y51" s="194"/>
      <c r="Z51" s="195">
        <v>2000</v>
      </c>
      <c r="AA51" s="194"/>
      <c r="AB51" s="195">
        <v>2000</v>
      </c>
    </row>
    <row r="52" spans="1:29" ht="27.6" customHeight="1">
      <c r="A52" s="171"/>
      <c r="B52" s="165" t="s">
        <v>9</v>
      </c>
      <c r="C52" s="122">
        <v>558</v>
      </c>
      <c r="D52" s="123"/>
      <c r="E52" s="124">
        <v>558000</v>
      </c>
      <c r="F52" s="116">
        <f t="shared" si="11"/>
        <v>558</v>
      </c>
      <c r="G52" s="116">
        <f t="shared" si="12"/>
        <v>0</v>
      </c>
      <c r="H52" s="114">
        <v>558</v>
      </c>
      <c r="I52" s="114">
        <v>558</v>
      </c>
      <c r="J52" s="114">
        <v>579</v>
      </c>
      <c r="K52" s="131">
        <v>570</v>
      </c>
      <c r="L52" s="195">
        <f t="shared" si="33"/>
        <v>754000</v>
      </c>
      <c r="M52" s="195">
        <f t="shared" si="34"/>
        <v>753430</v>
      </c>
      <c r="N52" s="195">
        <v>570</v>
      </c>
      <c r="O52" s="195"/>
      <c r="P52" s="195"/>
      <c r="Q52" s="25">
        <f t="shared" si="8"/>
        <v>754000</v>
      </c>
      <c r="R52" s="195">
        <v>641000</v>
      </c>
      <c r="S52" s="25">
        <f t="shared" si="9"/>
        <v>754000</v>
      </c>
      <c r="T52" s="195">
        <v>754000</v>
      </c>
      <c r="U52" s="25">
        <f t="shared" si="10"/>
        <v>754000</v>
      </c>
      <c r="V52" s="202">
        <v>902</v>
      </c>
      <c r="W52" s="194"/>
      <c r="X52" s="195">
        <v>754000</v>
      </c>
      <c r="Y52" s="194"/>
      <c r="Z52" s="195">
        <v>754000</v>
      </c>
      <c r="AA52" s="195"/>
      <c r="AB52" s="195">
        <v>754000</v>
      </c>
    </row>
    <row r="53" spans="1:29" ht="48" customHeight="1">
      <c r="A53" s="171"/>
      <c r="B53" s="165" t="s">
        <v>171</v>
      </c>
      <c r="C53" s="122"/>
      <c r="D53" s="123"/>
      <c r="E53" s="124"/>
      <c r="F53" s="116"/>
      <c r="G53" s="116"/>
      <c r="H53" s="114"/>
      <c r="I53" s="114"/>
      <c r="J53" s="114"/>
      <c r="K53" s="131"/>
      <c r="L53" s="195"/>
      <c r="M53" s="195"/>
      <c r="N53" s="195"/>
      <c r="O53" s="195"/>
      <c r="P53" s="195"/>
      <c r="Q53" s="25">
        <f t="shared" si="8"/>
        <v>37000</v>
      </c>
      <c r="R53" s="195"/>
      <c r="S53" s="25">
        <f t="shared" si="9"/>
        <v>37000</v>
      </c>
      <c r="T53" s="195">
        <v>37000</v>
      </c>
      <c r="U53" s="25">
        <f t="shared" si="10"/>
        <v>37000</v>
      </c>
      <c r="V53" s="202">
        <v>905</v>
      </c>
      <c r="W53" s="194"/>
      <c r="X53" s="195">
        <v>37000</v>
      </c>
      <c r="Y53" s="194"/>
      <c r="Z53" s="195">
        <v>37000</v>
      </c>
      <c r="AA53" s="195"/>
      <c r="AB53" s="195">
        <v>37000</v>
      </c>
    </row>
    <row r="54" spans="1:29" ht="27.6" customHeight="1">
      <c r="A54" s="171"/>
      <c r="B54" s="30" t="s">
        <v>142</v>
      </c>
      <c r="C54" s="122"/>
      <c r="D54" s="123"/>
      <c r="E54" s="124"/>
      <c r="F54" s="116"/>
      <c r="G54" s="116"/>
      <c r="H54" s="114"/>
      <c r="I54" s="114"/>
      <c r="J54" s="114"/>
      <c r="K54" s="131"/>
      <c r="L54" s="195"/>
      <c r="M54" s="195"/>
      <c r="N54" s="195"/>
      <c r="O54" s="195"/>
      <c r="P54" s="195"/>
      <c r="Q54" s="25">
        <f t="shared" si="8"/>
        <v>1477000</v>
      </c>
      <c r="R54" s="195"/>
      <c r="S54" s="25">
        <f t="shared" si="9"/>
        <v>1495000</v>
      </c>
      <c r="T54" s="195">
        <v>1495000</v>
      </c>
      <c r="U54" s="25">
        <f t="shared" si="10"/>
        <v>1495000</v>
      </c>
      <c r="V54" s="202">
        <v>902</v>
      </c>
      <c r="W54" s="194"/>
      <c r="X54" s="195">
        <v>1477000</v>
      </c>
      <c r="Y54" s="194"/>
      <c r="Z54" s="195">
        <v>1495000</v>
      </c>
      <c r="AA54" s="195"/>
      <c r="AB54" s="195">
        <v>1495000</v>
      </c>
    </row>
    <row r="55" spans="1:29" ht="24" customHeight="1">
      <c r="A55" s="171"/>
      <c r="B55" s="165" t="s">
        <v>10</v>
      </c>
      <c r="C55" s="122">
        <v>1032</v>
      </c>
      <c r="D55" s="123"/>
      <c r="E55" s="124">
        <v>1032000</v>
      </c>
      <c r="F55" s="116">
        <f t="shared" si="11"/>
        <v>1032</v>
      </c>
      <c r="G55" s="116">
        <f t="shared" si="12"/>
        <v>0</v>
      </c>
      <c r="H55" s="114">
        <v>1037</v>
      </c>
      <c r="I55" s="114">
        <v>1037</v>
      </c>
      <c r="J55" s="114">
        <v>1076</v>
      </c>
      <c r="K55" s="131">
        <v>1054</v>
      </c>
      <c r="L55" s="195">
        <f t="shared" si="33"/>
        <v>0</v>
      </c>
      <c r="M55" s="195">
        <f t="shared" si="34"/>
        <v>-1054</v>
      </c>
      <c r="N55" s="195">
        <v>1054</v>
      </c>
      <c r="O55" s="195"/>
      <c r="P55" s="195"/>
      <c r="Q55" s="25">
        <f t="shared" si="8"/>
        <v>0</v>
      </c>
      <c r="R55" s="195">
        <v>1186000</v>
      </c>
      <c r="S55" s="25">
        <f t="shared" si="9"/>
        <v>0</v>
      </c>
      <c r="T55" s="195"/>
      <c r="U55" s="25">
        <f t="shared" si="10"/>
        <v>0</v>
      </c>
      <c r="V55" s="202">
        <v>902</v>
      </c>
      <c r="W55" s="194"/>
      <c r="X55" s="195"/>
      <c r="Y55" s="194"/>
      <c r="Z55" s="195"/>
      <c r="AA55" s="194"/>
      <c r="AB55" s="195"/>
    </row>
    <row r="56" spans="1:29" ht="34.5" customHeight="1">
      <c r="A56" s="171"/>
      <c r="B56" s="165" t="s">
        <v>11</v>
      </c>
      <c r="C56" s="122">
        <v>542</v>
      </c>
      <c r="D56" s="123"/>
      <c r="E56" s="124">
        <v>542000</v>
      </c>
      <c r="F56" s="116">
        <f t="shared" si="11"/>
        <v>542</v>
      </c>
      <c r="G56" s="116">
        <f t="shared" si="12"/>
        <v>0</v>
      </c>
      <c r="H56" s="114">
        <v>542</v>
      </c>
      <c r="I56" s="114">
        <v>542</v>
      </c>
      <c r="J56" s="114">
        <v>564</v>
      </c>
      <c r="K56" s="131">
        <v>554</v>
      </c>
      <c r="L56" s="195">
        <f t="shared" si="33"/>
        <v>733000</v>
      </c>
      <c r="M56" s="195">
        <f t="shared" si="34"/>
        <v>732446</v>
      </c>
      <c r="N56" s="195">
        <v>554</v>
      </c>
      <c r="O56" s="195"/>
      <c r="P56" s="195"/>
      <c r="Q56" s="25">
        <f t="shared" si="8"/>
        <v>733000</v>
      </c>
      <c r="R56" s="195">
        <v>623000</v>
      </c>
      <c r="S56" s="25">
        <f t="shared" si="9"/>
        <v>733000</v>
      </c>
      <c r="T56" s="195">
        <v>733000</v>
      </c>
      <c r="U56" s="25">
        <f t="shared" si="10"/>
        <v>733000</v>
      </c>
      <c r="V56" s="202">
        <v>902</v>
      </c>
      <c r="W56" s="194"/>
      <c r="X56" s="195">
        <v>733000</v>
      </c>
      <c r="Y56" s="194"/>
      <c r="Z56" s="195">
        <v>733000</v>
      </c>
      <c r="AA56" s="194"/>
      <c r="AB56" s="195">
        <v>733000</v>
      </c>
    </row>
    <row r="57" spans="1:29" ht="42" customHeight="1">
      <c r="A57" s="171"/>
      <c r="B57" s="165" t="s">
        <v>12</v>
      </c>
      <c r="C57" s="122">
        <v>762</v>
      </c>
      <c r="D57" s="123"/>
      <c r="E57" s="124">
        <v>762000</v>
      </c>
      <c r="F57" s="116">
        <f t="shared" si="11"/>
        <v>762</v>
      </c>
      <c r="G57" s="116">
        <f t="shared" si="12"/>
        <v>0</v>
      </c>
      <c r="H57" s="114">
        <v>778</v>
      </c>
      <c r="I57" s="114">
        <v>778</v>
      </c>
      <c r="J57" s="114">
        <v>778</v>
      </c>
      <c r="K57" s="131">
        <v>795</v>
      </c>
      <c r="L57" s="195">
        <f t="shared" si="33"/>
        <v>1766000</v>
      </c>
      <c r="M57" s="195">
        <f t="shared" si="34"/>
        <v>1765205</v>
      </c>
      <c r="N57" s="195">
        <v>795</v>
      </c>
      <c r="O57" s="195"/>
      <c r="P57" s="195"/>
      <c r="Q57" s="25">
        <f t="shared" si="8"/>
        <v>1766000</v>
      </c>
      <c r="R57" s="195">
        <v>1160000</v>
      </c>
      <c r="S57" s="25">
        <f t="shared" si="9"/>
        <v>1373000</v>
      </c>
      <c r="T57" s="195">
        <v>1373000</v>
      </c>
      <c r="U57" s="25">
        <f t="shared" si="10"/>
        <v>1373000</v>
      </c>
      <c r="V57" s="202">
        <v>905</v>
      </c>
      <c r="W57" s="194"/>
      <c r="X57" s="195">
        <f>1373000+393000</f>
        <v>1766000</v>
      </c>
      <c r="Y57" s="194"/>
      <c r="Z57" s="195">
        <v>1373000</v>
      </c>
      <c r="AA57" s="194"/>
      <c r="AB57" s="195">
        <v>1373000</v>
      </c>
      <c r="AC57" s="189">
        <v>393</v>
      </c>
    </row>
    <row r="58" spans="1:29" ht="27.6" customHeight="1">
      <c r="A58" s="171"/>
      <c r="B58" s="165" t="s">
        <v>173</v>
      </c>
      <c r="C58" s="122">
        <v>442</v>
      </c>
      <c r="D58" s="123"/>
      <c r="E58" s="124">
        <v>442000</v>
      </c>
      <c r="F58" s="116">
        <f t="shared" si="11"/>
        <v>442</v>
      </c>
      <c r="G58" s="116">
        <f t="shared" si="12"/>
        <v>0</v>
      </c>
      <c r="H58" s="114">
        <v>508</v>
      </c>
      <c r="I58" s="114">
        <v>518</v>
      </c>
      <c r="J58" s="114">
        <v>508</v>
      </c>
      <c r="K58" s="131">
        <v>1786</v>
      </c>
      <c r="L58" s="195">
        <f t="shared" si="33"/>
        <v>8164000</v>
      </c>
      <c r="M58" s="195">
        <f t="shared" si="34"/>
        <v>8162214</v>
      </c>
      <c r="N58" s="195">
        <v>1854</v>
      </c>
      <c r="O58" s="195"/>
      <c r="P58" s="195"/>
      <c r="Q58" s="25">
        <f t="shared" si="8"/>
        <v>8164000</v>
      </c>
      <c r="R58" s="195">
        <v>1956000</v>
      </c>
      <c r="S58" s="25">
        <f t="shared" si="9"/>
        <v>8515000</v>
      </c>
      <c r="T58" s="195">
        <v>8515000</v>
      </c>
      <c r="U58" s="25">
        <f t="shared" si="10"/>
        <v>8898000</v>
      </c>
      <c r="V58" s="202">
        <v>905</v>
      </c>
      <c r="W58" s="194"/>
      <c r="X58" s="195">
        <v>8164000</v>
      </c>
      <c r="Y58" s="194"/>
      <c r="Z58" s="195">
        <v>8515000</v>
      </c>
      <c r="AA58" s="194"/>
      <c r="AB58" s="195">
        <v>8898000</v>
      </c>
    </row>
    <row r="59" spans="1:29" ht="31.9" customHeight="1">
      <c r="A59" s="171" t="s">
        <v>45</v>
      </c>
      <c r="B59" s="165" t="s">
        <v>13</v>
      </c>
      <c r="C59" s="122">
        <v>25623</v>
      </c>
      <c r="D59" s="123"/>
      <c r="E59" s="124">
        <v>25623000</v>
      </c>
      <c r="F59" s="116">
        <f t="shared" si="11"/>
        <v>25623</v>
      </c>
      <c r="G59" s="116">
        <f t="shared" si="12"/>
        <v>0</v>
      </c>
      <c r="H59" s="114">
        <v>24886</v>
      </c>
      <c r="I59" s="114">
        <v>24886</v>
      </c>
      <c r="J59" s="114">
        <v>25882</v>
      </c>
      <c r="K59" s="131">
        <v>27714</v>
      </c>
      <c r="L59" s="195">
        <f t="shared" si="33"/>
        <v>31556000</v>
      </c>
      <c r="M59" s="195">
        <f t="shared" si="34"/>
        <v>31528286</v>
      </c>
      <c r="N59" s="195">
        <v>27714</v>
      </c>
      <c r="O59" s="195"/>
      <c r="P59" s="195"/>
      <c r="Q59" s="25">
        <f t="shared" si="8"/>
        <v>31556000</v>
      </c>
      <c r="R59" s="195">
        <v>28143000</v>
      </c>
      <c r="S59" s="25">
        <f t="shared" si="9"/>
        <v>31556000</v>
      </c>
      <c r="T59" s="195">
        <v>31556000</v>
      </c>
      <c r="U59" s="25">
        <f t="shared" si="10"/>
        <v>31556000</v>
      </c>
      <c r="V59" s="202">
        <v>906</v>
      </c>
      <c r="W59" s="194"/>
      <c r="X59" s="195">
        <v>31556000</v>
      </c>
      <c r="Y59" s="194"/>
      <c r="Z59" s="195">
        <v>31556000</v>
      </c>
      <c r="AA59" s="194"/>
      <c r="AB59" s="195">
        <v>31556000</v>
      </c>
    </row>
    <row r="60" spans="1:29" ht="36.6" customHeight="1">
      <c r="A60" s="171" t="s">
        <v>46</v>
      </c>
      <c r="B60" s="165" t="s">
        <v>14</v>
      </c>
      <c r="C60" s="122">
        <v>3449</v>
      </c>
      <c r="D60" s="123"/>
      <c r="E60" s="124">
        <v>3449000</v>
      </c>
      <c r="F60" s="116">
        <f t="shared" si="11"/>
        <v>3449</v>
      </c>
      <c r="G60" s="116">
        <f t="shared" si="12"/>
        <v>0</v>
      </c>
      <c r="H60" s="114">
        <v>3673</v>
      </c>
      <c r="I60" s="114">
        <v>3673</v>
      </c>
      <c r="J60" s="114">
        <v>3673</v>
      </c>
      <c r="K60" s="131">
        <v>2329</v>
      </c>
      <c r="L60" s="195">
        <f t="shared" si="33"/>
        <v>4048000</v>
      </c>
      <c r="M60" s="195">
        <f t="shared" si="34"/>
        <v>4045671</v>
      </c>
      <c r="N60" s="195">
        <v>2329</v>
      </c>
      <c r="O60" s="195"/>
      <c r="P60" s="195"/>
      <c r="Q60" s="25">
        <f t="shared" si="8"/>
        <v>4048000</v>
      </c>
      <c r="R60" s="195">
        <v>5387000</v>
      </c>
      <c r="S60" s="25">
        <f t="shared" si="9"/>
        <v>4048000</v>
      </c>
      <c r="T60" s="195">
        <v>4048000</v>
      </c>
      <c r="U60" s="25">
        <f t="shared" si="10"/>
        <v>4048000</v>
      </c>
      <c r="V60" s="202">
        <v>906</v>
      </c>
      <c r="W60" s="194"/>
      <c r="X60" s="195">
        <v>4048000</v>
      </c>
      <c r="Y60" s="194"/>
      <c r="Z60" s="195">
        <v>4048000</v>
      </c>
      <c r="AA60" s="194"/>
      <c r="AB60" s="195">
        <v>4048000</v>
      </c>
    </row>
    <row r="61" spans="1:29" ht="38.450000000000003" customHeight="1">
      <c r="A61" s="171" t="s">
        <v>47</v>
      </c>
      <c r="B61" s="165" t="s">
        <v>15</v>
      </c>
      <c r="C61" s="122">
        <v>5821</v>
      </c>
      <c r="D61" s="123"/>
      <c r="E61" s="124">
        <v>5820994</v>
      </c>
      <c r="F61" s="116">
        <f t="shared" si="11"/>
        <v>5820.9939999999997</v>
      </c>
      <c r="G61" s="116">
        <f t="shared" si="12"/>
        <v>-6.0000000003128662E-3</v>
      </c>
      <c r="H61" s="114">
        <v>3104</v>
      </c>
      <c r="I61" s="114">
        <f>3104+2580</f>
        <v>5684</v>
      </c>
      <c r="J61" s="114">
        <v>3954</v>
      </c>
      <c r="K61" s="131">
        <v>5031</v>
      </c>
      <c r="L61" s="195">
        <f t="shared" si="33"/>
        <v>15914522</v>
      </c>
      <c r="M61" s="195">
        <f t="shared" si="34"/>
        <v>15909491</v>
      </c>
      <c r="N61" s="195">
        <v>4385</v>
      </c>
      <c r="O61" s="195"/>
      <c r="P61" s="195"/>
      <c r="Q61" s="25">
        <f t="shared" si="8"/>
        <v>15914522</v>
      </c>
      <c r="R61" s="195">
        <v>19253400</v>
      </c>
      <c r="S61" s="25">
        <f t="shared" si="9"/>
        <v>60930701</v>
      </c>
      <c r="T61" s="195">
        <v>46725000</v>
      </c>
      <c r="U61" s="25">
        <f t="shared" si="10"/>
        <v>62311914</v>
      </c>
      <c r="V61" s="202">
        <v>904</v>
      </c>
      <c r="W61" s="194">
        <v>3710522</v>
      </c>
      <c r="X61" s="195">
        <v>12204000</v>
      </c>
      <c r="Y61" s="194">
        <v>14205701</v>
      </c>
      <c r="Z61" s="195">
        <v>46725000</v>
      </c>
      <c r="AA61" s="194">
        <v>14882914</v>
      </c>
      <c r="AB61" s="195">
        <v>47429000</v>
      </c>
    </row>
    <row r="62" spans="1:29" ht="38.450000000000003" customHeight="1">
      <c r="A62" s="197" t="s">
        <v>160</v>
      </c>
      <c r="B62" s="165" t="s">
        <v>161</v>
      </c>
      <c r="C62" s="122"/>
      <c r="D62" s="123"/>
      <c r="E62" s="124"/>
      <c r="F62" s="116"/>
      <c r="G62" s="116"/>
      <c r="H62" s="114"/>
      <c r="I62" s="114"/>
      <c r="J62" s="114"/>
      <c r="K62" s="131"/>
      <c r="L62" s="195"/>
      <c r="M62" s="195"/>
      <c r="N62" s="195"/>
      <c r="O62" s="195"/>
      <c r="P62" s="195"/>
      <c r="Q62" s="25">
        <f t="shared" si="8"/>
        <v>4100</v>
      </c>
      <c r="R62" s="195">
        <v>101000</v>
      </c>
      <c r="S62" s="25">
        <f t="shared" ref="S62" si="35">Y62+Z62</f>
        <v>4300</v>
      </c>
      <c r="T62" s="195">
        <v>46725001</v>
      </c>
      <c r="U62" s="25">
        <f t="shared" ref="U62" si="36">AA62+AB62</f>
        <v>3900</v>
      </c>
      <c r="V62" s="202">
        <v>902</v>
      </c>
      <c r="W62" s="194">
        <v>4100</v>
      </c>
      <c r="X62" s="195"/>
      <c r="Y62" s="194">
        <v>4300</v>
      </c>
      <c r="Z62" s="195"/>
      <c r="AA62" s="194">
        <v>3900</v>
      </c>
      <c r="AB62" s="195"/>
    </row>
    <row r="63" spans="1:29" ht="23.45" customHeight="1">
      <c r="A63" s="171" t="s">
        <v>48</v>
      </c>
      <c r="B63" s="165" t="s">
        <v>16</v>
      </c>
      <c r="C63" s="122">
        <v>145</v>
      </c>
      <c r="D63" s="123"/>
      <c r="E63" s="124">
        <v>145000</v>
      </c>
      <c r="F63" s="116">
        <f t="shared" si="11"/>
        <v>145</v>
      </c>
      <c r="G63" s="116">
        <f t="shared" si="12"/>
        <v>0</v>
      </c>
      <c r="H63" s="114">
        <v>110</v>
      </c>
      <c r="I63" s="114">
        <v>110</v>
      </c>
      <c r="J63" s="114">
        <v>110</v>
      </c>
      <c r="K63" s="131">
        <v>111</v>
      </c>
      <c r="L63" s="195">
        <f t="shared" si="33"/>
        <v>92000</v>
      </c>
      <c r="M63" s="195">
        <f t="shared" si="34"/>
        <v>91889</v>
      </c>
      <c r="N63" s="195">
        <v>111</v>
      </c>
      <c r="O63" s="195"/>
      <c r="P63" s="195"/>
      <c r="Q63" s="25">
        <f t="shared" si="8"/>
        <v>92000</v>
      </c>
      <c r="R63" s="195">
        <v>0</v>
      </c>
      <c r="S63" s="25">
        <f t="shared" si="9"/>
        <v>92000</v>
      </c>
      <c r="T63" s="195">
        <v>92000</v>
      </c>
      <c r="U63" s="25">
        <f t="shared" si="10"/>
        <v>92000</v>
      </c>
      <c r="V63" s="202">
        <v>907</v>
      </c>
      <c r="W63" s="194"/>
      <c r="X63" s="195">
        <v>92000</v>
      </c>
      <c r="Y63" s="194"/>
      <c r="Z63" s="195">
        <v>92000</v>
      </c>
      <c r="AA63" s="194"/>
      <c r="AB63" s="195">
        <v>92000</v>
      </c>
    </row>
    <row r="64" spans="1:29" ht="24.75" hidden="1">
      <c r="A64" s="126" t="s">
        <v>65</v>
      </c>
      <c r="B64" s="127" t="s">
        <v>87</v>
      </c>
      <c r="C64" s="123"/>
      <c r="D64" s="123"/>
      <c r="E64" s="124"/>
      <c r="F64" s="116">
        <f t="shared" si="11"/>
        <v>0</v>
      </c>
      <c r="G64" s="116">
        <f t="shared" si="12"/>
        <v>0</v>
      </c>
      <c r="H64" s="114"/>
      <c r="I64" s="114">
        <v>962</v>
      </c>
      <c r="J64" s="114"/>
      <c r="K64" s="131">
        <v>0</v>
      </c>
      <c r="L64" s="195">
        <f t="shared" si="33"/>
        <v>0</v>
      </c>
      <c r="M64" s="195">
        <f t="shared" si="34"/>
        <v>0</v>
      </c>
      <c r="N64" s="195">
        <v>0</v>
      </c>
      <c r="O64" s="195"/>
      <c r="P64" s="195"/>
      <c r="Q64" s="25">
        <f t="shared" si="8"/>
        <v>0</v>
      </c>
      <c r="R64" s="195">
        <v>37303000</v>
      </c>
      <c r="S64" s="25">
        <f t="shared" si="9"/>
        <v>0</v>
      </c>
      <c r="T64" s="195"/>
      <c r="U64" s="25">
        <f t="shared" si="10"/>
        <v>0</v>
      </c>
      <c r="V64" s="202" t="s">
        <v>61</v>
      </c>
      <c r="W64" s="194"/>
      <c r="X64" s="195"/>
      <c r="Y64" s="194"/>
      <c r="Z64" s="195"/>
      <c r="AA64" s="194"/>
      <c r="AB64" s="195"/>
    </row>
    <row r="65" spans="1:28" ht="16.5" customHeight="1">
      <c r="A65" s="209" t="s">
        <v>128</v>
      </c>
      <c r="B65" s="139" t="s">
        <v>127</v>
      </c>
      <c r="C65" s="224"/>
      <c r="D65" s="224"/>
      <c r="E65" s="225"/>
      <c r="F65" s="223"/>
      <c r="G65" s="223"/>
      <c r="H65" s="226"/>
      <c r="I65" s="226"/>
      <c r="J65" s="226"/>
      <c r="K65" s="227"/>
      <c r="L65" s="219">
        <f t="shared" si="33"/>
        <v>39812696.810000002</v>
      </c>
      <c r="M65" s="228"/>
      <c r="N65" s="228"/>
      <c r="O65" s="228"/>
      <c r="P65" s="228"/>
      <c r="Q65" s="24">
        <f>SUM(Q66:Q68)</f>
        <v>39812696.810000002</v>
      </c>
      <c r="R65" s="24">
        <f t="shared" ref="R65:AB65" si="37">SUM(R66:R68)</f>
        <v>0</v>
      </c>
      <c r="S65" s="24">
        <f t="shared" si="37"/>
        <v>39000000</v>
      </c>
      <c r="T65" s="24">
        <f t="shared" si="37"/>
        <v>0</v>
      </c>
      <c r="U65" s="24">
        <f t="shared" si="37"/>
        <v>39000000</v>
      </c>
      <c r="V65" s="24"/>
      <c r="W65" s="24">
        <f t="shared" si="37"/>
        <v>39454069.840000004</v>
      </c>
      <c r="X65" s="24">
        <f t="shared" si="37"/>
        <v>358626.97</v>
      </c>
      <c r="Y65" s="24">
        <f t="shared" si="37"/>
        <v>39000000</v>
      </c>
      <c r="Z65" s="24">
        <f t="shared" si="37"/>
        <v>0</v>
      </c>
      <c r="AA65" s="24">
        <f t="shared" si="37"/>
        <v>39000000</v>
      </c>
      <c r="AB65" s="24">
        <f t="shared" si="37"/>
        <v>0</v>
      </c>
    </row>
    <row r="66" spans="1:28" ht="36.75">
      <c r="A66" s="210" t="s">
        <v>114</v>
      </c>
      <c r="B66" s="120" t="s">
        <v>126</v>
      </c>
      <c r="C66" s="123"/>
      <c r="D66" s="123"/>
      <c r="E66" s="124"/>
      <c r="F66" s="116"/>
      <c r="G66" s="116"/>
      <c r="H66" s="114"/>
      <c r="I66" s="114"/>
      <c r="J66" s="114"/>
      <c r="K66" s="131"/>
      <c r="L66" s="195">
        <f t="shared" si="33"/>
        <v>38600000</v>
      </c>
      <c r="M66" s="154"/>
      <c r="N66" s="154"/>
      <c r="O66" s="154"/>
      <c r="P66" s="154"/>
      <c r="Q66" s="25">
        <f>W66+X66</f>
        <v>38600000</v>
      </c>
      <c r="R66" s="195"/>
      <c r="S66" s="25">
        <f t="shared" si="9"/>
        <v>39000000</v>
      </c>
      <c r="T66" s="195"/>
      <c r="U66" s="25">
        <f t="shared" si="10"/>
        <v>39000000</v>
      </c>
      <c r="V66" s="202">
        <v>906</v>
      </c>
      <c r="W66" s="198">
        <v>38600000</v>
      </c>
      <c r="X66" s="195"/>
      <c r="Y66" s="198">
        <v>39000000</v>
      </c>
      <c r="Z66" s="195"/>
      <c r="AA66" s="198">
        <v>39000000</v>
      </c>
      <c r="AB66" s="195"/>
    </row>
    <row r="67" spans="1:28" ht="53.25" customHeight="1">
      <c r="A67" s="231" t="s">
        <v>178</v>
      </c>
      <c r="B67" s="232" t="s">
        <v>179</v>
      </c>
      <c r="C67" s="233"/>
      <c r="D67" s="233"/>
      <c r="E67" s="234"/>
      <c r="F67" s="116">
        <f t="shared" si="11"/>
        <v>0</v>
      </c>
      <c r="G67" s="116">
        <f t="shared" si="12"/>
        <v>0</v>
      </c>
      <c r="H67" s="235"/>
      <c r="I67" s="235"/>
      <c r="J67" s="235"/>
      <c r="K67" s="235">
        <v>1000</v>
      </c>
      <c r="L67" s="236">
        <f t="shared" si="33"/>
        <v>862696.80999999994</v>
      </c>
      <c r="M67" s="236">
        <f t="shared" si="34"/>
        <v>861696.80999999994</v>
      </c>
      <c r="N67" s="236">
        <v>0</v>
      </c>
      <c r="O67" s="236"/>
      <c r="P67" s="236"/>
      <c r="Q67" s="25">
        <f t="shared" si="8"/>
        <v>862696.80999999994</v>
      </c>
      <c r="R67" s="236"/>
      <c r="S67" s="237">
        <f t="shared" si="9"/>
        <v>0</v>
      </c>
      <c r="T67" s="238"/>
      <c r="U67" s="237">
        <f t="shared" si="10"/>
        <v>0</v>
      </c>
      <c r="V67" s="239">
        <v>906</v>
      </c>
      <c r="W67" s="240">
        <v>854069.84</v>
      </c>
      <c r="X67" s="240">
        <v>8626.9699999999993</v>
      </c>
      <c r="Y67" s="240"/>
      <c r="Z67" s="240"/>
      <c r="AA67" s="240"/>
      <c r="AB67" s="240"/>
    </row>
    <row r="68" spans="1:28">
      <c r="A68" s="171" t="s">
        <v>49</v>
      </c>
      <c r="B68" s="30" t="s">
        <v>18</v>
      </c>
      <c r="C68" s="123">
        <f>180+360</f>
        <v>540</v>
      </c>
      <c r="D68" s="123">
        <v>360</v>
      </c>
      <c r="E68" s="124">
        <f>180000+360000</f>
        <v>540000</v>
      </c>
      <c r="F68" s="194">
        <f t="shared" si="11"/>
        <v>540</v>
      </c>
      <c r="G68" s="194">
        <f t="shared" si="12"/>
        <v>0</v>
      </c>
      <c r="H68" s="114"/>
      <c r="I68" s="114"/>
      <c r="J68" s="114"/>
      <c r="K68" s="114"/>
      <c r="L68" s="195"/>
      <c r="M68" s="195"/>
      <c r="N68" s="195"/>
      <c r="O68" s="195"/>
      <c r="P68" s="195"/>
      <c r="Q68" s="25">
        <f t="shared" si="8"/>
        <v>350000</v>
      </c>
      <c r="R68" s="195"/>
      <c r="S68" s="25">
        <f t="shared" si="9"/>
        <v>0</v>
      </c>
      <c r="T68" s="195"/>
      <c r="U68" s="25">
        <f t="shared" si="10"/>
        <v>0</v>
      </c>
      <c r="V68" s="202">
        <v>902</v>
      </c>
      <c r="W68" s="194"/>
      <c r="X68" s="194">
        <v>350000</v>
      </c>
      <c r="Y68" s="194"/>
      <c r="Z68" s="194"/>
      <c r="AA68" s="194"/>
      <c r="AB68" s="194"/>
    </row>
    <row r="69" spans="1:28">
      <c r="A69" s="229" t="s">
        <v>55</v>
      </c>
      <c r="B69" s="230" t="s">
        <v>56</v>
      </c>
      <c r="C69" s="224"/>
      <c r="D69" s="224"/>
      <c r="E69" s="225"/>
      <c r="F69" s="201"/>
      <c r="G69" s="201"/>
      <c r="H69" s="226"/>
      <c r="I69" s="226"/>
      <c r="J69" s="226"/>
      <c r="K69" s="226"/>
      <c r="L69" s="219"/>
      <c r="M69" s="219"/>
      <c r="N69" s="219"/>
      <c r="O69" s="219"/>
      <c r="P69" s="219"/>
      <c r="Q69" s="24">
        <f>SUM(Q70:Q71)</f>
        <v>31335375.75</v>
      </c>
      <c r="R69" s="24">
        <f t="shared" ref="R69:AB69" si="38">SUM(R70:R71)</f>
        <v>0</v>
      </c>
      <c r="S69" s="24">
        <f t="shared" si="38"/>
        <v>0</v>
      </c>
      <c r="T69" s="24">
        <f t="shared" si="38"/>
        <v>0</v>
      </c>
      <c r="U69" s="24">
        <f t="shared" si="38"/>
        <v>0</v>
      </c>
      <c r="V69" s="24"/>
      <c r="W69" s="24">
        <f t="shared" si="38"/>
        <v>0</v>
      </c>
      <c r="X69" s="24">
        <f t="shared" si="38"/>
        <v>0</v>
      </c>
      <c r="Y69" s="24">
        <f t="shared" si="38"/>
        <v>0</v>
      </c>
      <c r="Z69" s="24">
        <f t="shared" si="38"/>
        <v>0</v>
      </c>
      <c r="AA69" s="24">
        <f t="shared" si="38"/>
        <v>0</v>
      </c>
      <c r="AB69" s="24">
        <f t="shared" si="38"/>
        <v>0</v>
      </c>
    </row>
    <row r="70" spans="1:28">
      <c r="A70" s="115" t="s">
        <v>55</v>
      </c>
      <c r="B70" s="117" t="s">
        <v>56</v>
      </c>
      <c r="C70" s="123"/>
      <c r="D70" s="123"/>
      <c r="E70" s="124"/>
      <c r="F70" s="194"/>
      <c r="G70" s="194"/>
      <c r="H70" s="114"/>
      <c r="I70" s="114"/>
      <c r="J70" s="114"/>
      <c r="K70" s="114"/>
      <c r="L70" s="195"/>
      <c r="M70" s="195"/>
      <c r="N70" s="195"/>
      <c r="O70" s="195"/>
      <c r="P70" s="195"/>
      <c r="Q70" s="25">
        <f>7334375.75+1000</f>
        <v>7335375.75</v>
      </c>
      <c r="R70" s="195"/>
      <c r="S70" s="25"/>
      <c r="T70" s="195"/>
      <c r="U70" s="25"/>
      <c r="V70" s="202">
        <v>905</v>
      </c>
      <c r="W70" s="194"/>
      <c r="X70" s="194"/>
      <c r="Y70" s="194"/>
      <c r="Z70" s="194"/>
      <c r="AA70" s="194"/>
      <c r="AB70" s="194"/>
    </row>
    <row r="71" spans="1:28" ht="16.899999999999999" customHeight="1">
      <c r="A71" s="115" t="s">
        <v>55</v>
      </c>
      <c r="B71" s="117" t="s">
        <v>56</v>
      </c>
      <c r="C71" s="211">
        <f>3208.7+534.9</f>
        <v>3743.6</v>
      </c>
      <c r="D71" s="212"/>
      <c r="E71" s="213">
        <f>3208759+534875</f>
        <v>3743634</v>
      </c>
      <c r="F71" s="194">
        <f>E71/1000</f>
        <v>3743.634</v>
      </c>
      <c r="G71" s="194">
        <f>F71-C71</f>
        <v>3.4000000000105501E-2</v>
      </c>
      <c r="H71" s="114"/>
      <c r="I71" s="114"/>
      <c r="J71" s="114"/>
      <c r="K71" s="114"/>
      <c r="L71" s="195">
        <v>124000</v>
      </c>
      <c r="M71" s="195"/>
      <c r="N71" s="195"/>
      <c r="O71" s="195"/>
      <c r="P71" s="195"/>
      <c r="Q71" s="195">
        <v>24000000</v>
      </c>
      <c r="R71" s="195"/>
      <c r="S71" s="25">
        <f t="shared" si="9"/>
        <v>0</v>
      </c>
      <c r="T71" s="195"/>
      <c r="U71" s="25">
        <f t="shared" si="10"/>
        <v>0</v>
      </c>
      <c r="V71" s="202">
        <v>906</v>
      </c>
      <c r="W71" s="194"/>
      <c r="X71" s="194"/>
      <c r="Y71" s="194"/>
      <c r="Z71" s="194"/>
      <c r="AA71" s="194"/>
      <c r="AB71" s="194"/>
    </row>
    <row r="72" spans="1:28">
      <c r="C72" s="205">
        <f>C6</f>
        <v>864721.7</v>
      </c>
      <c r="D72" s="205">
        <f>D6</f>
        <v>360</v>
      </c>
      <c r="E72" s="205">
        <f>E6</f>
        <v>864721718.66999996</v>
      </c>
      <c r="F72" s="205">
        <f>F6</f>
        <v>832206.21461999987</v>
      </c>
      <c r="G72" s="205">
        <f>G6</f>
        <v>0.11462000000285499</v>
      </c>
      <c r="H72" s="206"/>
      <c r="I72" s="206"/>
      <c r="J72" s="206"/>
      <c r="K72" s="206"/>
      <c r="L72" s="206"/>
      <c r="M72" s="206"/>
      <c r="N72" s="206"/>
      <c r="O72" s="206"/>
      <c r="P72" s="206"/>
      <c r="Q72" s="206"/>
      <c r="R72" s="206"/>
      <c r="S72" s="206"/>
      <c r="T72" s="206"/>
      <c r="U72" s="206"/>
      <c r="V72" s="116"/>
      <c r="W72" s="116"/>
      <c r="X72" s="116"/>
      <c r="Y72" s="116"/>
      <c r="Z72" s="116"/>
      <c r="AA72" s="116"/>
      <c r="AB72" s="116"/>
    </row>
    <row r="73" spans="1:28">
      <c r="C73" s="116">
        <f>C6-C72</f>
        <v>0</v>
      </c>
      <c r="D73" s="116">
        <f>D6-D72</f>
        <v>0</v>
      </c>
      <c r="E73" s="116">
        <f>E6-E72</f>
        <v>0</v>
      </c>
      <c r="H73" s="206"/>
      <c r="I73" s="206"/>
      <c r="J73" s="206"/>
      <c r="K73" s="206"/>
      <c r="L73" s="206"/>
      <c r="M73" s="206"/>
      <c r="N73" s="206"/>
      <c r="O73" s="206"/>
      <c r="P73" s="206"/>
      <c r="Q73" s="206"/>
      <c r="R73" s="206"/>
      <c r="S73" s="206"/>
      <c r="T73" s="206"/>
      <c r="U73" s="206"/>
      <c r="V73" s="116"/>
      <c r="W73" s="116"/>
      <c r="X73" s="116"/>
      <c r="Y73" s="116"/>
      <c r="Z73" s="116"/>
      <c r="AA73" s="116"/>
      <c r="AB73" s="116"/>
    </row>
    <row r="74" spans="1:28">
      <c r="A74" s="189" t="s">
        <v>137</v>
      </c>
      <c r="C74" s="116"/>
      <c r="D74" s="116"/>
      <c r="E74" s="116"/>
      <c r="H74" s="206">
        <v>0</v>
      </c>
      <c r="I74" s="206">
        <v>1</v>
      </c>
      <c r="J74" s="206"/>
      <c r="K74" s="206"/>
      <c r="L74" s="206">
        <f>L7</f>
        <v>28719000</v>
      </c>
      <c r="M74" s="206">
        <f t="shared" ref="M74:P74" si="39">M7</f>
        <v>21255000</v>
      </c>
      <c r="N74" s="206">
        <f t="shared" si="39"/>
        <v>0</v>
      </c>
      <c r="O74" s="206">
        <f t="shared" si="39"/>
        <v>0</v>
      </c>
      <c r="P74" s="206">
        <f t="shared" si="39"/>
        <v>0</v>
      </c>
      <c r="Q74" s="206">
        <f>Q9+Q10</f>
        <v>21255000</v>
      </c>
      <c r="R74" s="206">
        <f t="shared" ref="R74:AB74" si="40">R9+R10</f>
        <v>0</v>
      </c>
      <c r="S74" s="206">
        <f t="shared" si="40"/>
        <v>0</v>
      </c>
      <c r="T74" s="206">
        <f t="shared" si="40"/>
        <v>0</v>
      </c>
      <c r="U74" s="206">
        <f t="shared" si="40"/>
        <v>0</v>
      </c>
      <c r="V74" s="206">
        <f t="shared" si="40"/>
        <v>1806</v>
      </c>
      <c r="W74" s="206">
        <f t="shared" si="40"/>
        <v>0</v>
      </c>
      <c r="X74" s="206">
        <f t="shared" si="40"/>
        <v>21255000</v>
      </c>
      <c r="Y74" s="206">
        <f t="shared" si="40"/>
        <v>0</v>
      </c>
      <c r="Z74" s="206">
        <f t="shared" si="40"/>
        <v>0</v>
      </c>
      <c r="AA74" s="206">
        <f t="shared" si="40"/>
        <v>0</v>
      </c>
      <c r="AB74" s="206">
        <f t="shared" si="40"/>
        <v>0</v>
      </c>
    </row>
    <row r="75" spans="1:28">
      <c r="A75" s="189" t="s">
        <v>61</v>
      </c>
      <c r="C75" s="116"/>
      <c r="D75" s="116"/>
      <c r="E75" s="116"/>
      <c r="H75" s="206">
        <f>H25+H23+H34+H35+H36+H51+H52+H55+H56+H64+H7</f>
        <v>3325</v>
      </c>
      <c r="I75" s="206">
        <f>I25+I23+I34+I35+I36+I51+I52+I55+I56+I64+I7</f>
        <v>13244</v>
      </c>
      <c r="J75" s="206">
        <f>J25+J23+J34+J35+J36+J51+J52+J55+J56+J64+J7</f>
        <v>2221</v>
      </c>
      <c r="K75" s="206">
        <f>K25+K23+K34+K35+K36+K51+K52+K55+K56+K64+K7</f>
        <v>12180</v>
      </c>
      <c r="L75" s="206">
        <f>L25+L23+L34+L35+L36+L51+L52+L55+L56+L64+L54</f>
        <v>5831614.9000000004</v>
      </c>
      <c r="M75" s="206">
        <f>M25+M23+M34+M35+M36+M51+M52+M55+M56+M64+M54</f>
        <v>5819434.9000000004</v>
      </c>
      <c r="N75" s="206">
        <f>N25+N23+N34+N35+N36+N51+N52+N55+N56+N64+N54</f>
        <v>2180</v>
      </c>
      <c r="O75" s="206">
        <f>O25+O23+O34+O35+O36+O51+O52+O55+O56+O64+O54</f>
        <v>0</v>
      </c>
      <c r="P75" s="206">
        <f>P25+P23+P34+P35+P36+P51+P52+P55+P56+P64+P54</f>
        <v>0</v>
      </c>
      <c r="Q75" s="206">
        <f>Q23+Q35+Q36+Q37+Q38+Q51+Q54+Q56+Q62+Q34+Q52+Q68</f>
        <v>17662714.899999999</v>
      </c>
      <c r="R75" s="206">
        <f t="shared" ref="R75:AB75" si="41">R23+R35+R36+R37+R38+R51+R54+R56+R62+R34+R52+R68</f>
        <v>3416921.05</v>
      </c>
      <c r="S75" s="206">
        <f t="shared" si="41"/>
        <v>15666928.84</v>
      </c>
      <c r="T75" s="206">
        <f t="shared" si="41"/>
        <v>60349325</v>
      </c>
      <c r="U75" s="206">
        <f t="shared" si="41"/>
        <v>5999539.54</v>
      </c>
      <c r="V75" s="206">
        <f t="shared" si="41"/>
        <v>10824</v>
      </c>
      <c r="W75" s="206">
        <f t="shared" si="41"/>
        <v>3270416.61</v>
      </c>
      <c r="X75" s="206">
        <f t="shared" si="41"/>
        <v>14392298.289999999</v>
      </c>
      <c r="Y75" s="206">
        <f t="shared" si="41"/>
        <v>1838758.69</v>
      </c>
      <c r="Z75" s="206">
        <f t="shared" si="41"/>
        <v>13828170.15</v>
      </c>
      <c r="AA75" s="206">
        <f t="shared" si="41"/>
        <v>2138015.89</v>
      </c>
      <c r="AB75" s="206">
        <f t="shared" si="41"/>
        <v>3861523.65</v>
      </c>
    </row>
    <row r="76" spans="1:28">
      <c r="A76" s="189" t="s">
        <v>63</v>
      </c>
      <c r="H76" s="206">
        <f t="shared" ref="H76:P76" si="42">H61</f>
        <v>3104</v>
      </c>
      <c r="I76" s="206">
        <f t="shared" si="42"/>
        <v>5684</v>
      </c>
      <c r="J76" s="206">
        <f t="shared" si="42"/>
        <v>3954</v>
      </c>
      <c r="K76" s="206">
        <f t="shared" si="42"/>
        <v>5031</v>
      </c>
      <c r="L76" s="206">
        <f t="shared" si="42"/>
        <v>15914522</v>
      </c>
      <c r="M76" s="206">
        <f t="shared" si="42"/>
        <v>15909491</v>
      </c>
      <c r="N76" s="206">
        <f t="shared" si="42"/>
        <v>4385</v>
      </c>
      <c r="O76" s="206">
        <f t="shared" si="42"/>
        <v>0</v>
      </c>
      <c r="P76" s="206">
        <f t="shared" si="42"/>
        <v>0</v>
      </c>
      <c r="Q76" s="206">
        <f>Q40+Q61</f>
        <v>15914522</v>
      </c>
      <c r="R76" s="206">
        <f t="shared" ref="R76:AB76" si="43">R40+R61</f>
        <v>19253400</v>
      </c>
      <c r="S76" s="206">
        <f t="shared" si="43"/>
        <v>60930701</v>
      </c>
      <c r="T76" s="206">
        <f t="shared" si="43"/>
        <v>46725000</v>
      </c>
      <c r="U76" s="206">
        <f t="shared" si="43"/>
        <v>64126632</v>
      </c>
      <c r="V76" s="206">
        <f t="shared" si="43"/>
        <v>1808</v>
      </c>
      <c r="W76" s="206">
        <f t="shared" si="43"/>
        <v>3710522</v>
      </c>
      <c r="X76" s="206">
        <f t="shared" si="43"/>
        <v>12204000</v>
      </c>
      <c r="Y76" s="206">
        <f t="shared" si="43"/>
        <v>14205701</v>
      </c>
      <c r="Z76" s="206">
        <f t="shared" si="43"/>
        <v>46725000</v>
      </c>
      <c r="AA76" s="206">
        <f t="shared" si="43"/>
        <v>14882914</v>
      </c>
      <c r="AB76" s="206">
        <f t="shared" si="43"/>
        <v>49243718</v>
      </c>
    </row>
    <row r="77" spans="1:28">
      <c r="A77" s="189" t="s">
        <v>60</v>
      </c>
      <c r="H77" s="206">
        <f>H17+H29+H30+H33+H48+H49+H50+H59+H60</f>
        <v>601453</v>
      </c>
      <c r="I77" s="206">
        <f>I17+I29+I30+I33+I48+I49+I50+I59+I60</f>
        <v>770705.8</v>
      </c>
      <c r="J77" s="206">
        <f>J17+J29+J30+J33+J48+J49+J50+J59+J60</f>
        <v>688970</v>
      </c>
      <c r="K77" s="206">
        <f>K17+K29+K30+K33+K48+K49+K50+K59+K60</f>
        <v>535811</v>
      </c>
      <c r="L77" s="206">
        <f t="shared" ref="L77:P77" si="44">L17+L29+L30+L33+L48+L49+L50+L59+L60+L19+L66+L21</f>
        <v>1037630793.11</v>
      </c>
      <c r="M77" s="206">
        <f t="shared" si="44"/>
        <v>998494982.11000001</v>
      </c>
      <c r="N77" s="206">
        <f t="shared" si="44"/>
        <v>408610</v>
      </c>
      <c r="O77" s="206">
        <f t="shared" si="44"/>
        <v>0</v>
      </c>
      <c r="P77" s="206">
        <f t="shared" si="44"/>
        <v>0</v>
      </c>
      <c r="Q77" s="206">
        <f>Q15+Q16+Q20+Q21+Q29+Q30+Q33+Q39+Q48+Q49+Q50+Q60+Q59+Q66+Q67+Q71</f>
        <v>1063656000.7199999</v>
      </c>
      <c r="R77" s="206">
        <f t="shared" ref="R77:AB77" si="45">R15+R16+R20+R21+R29+R30+R33+R39+R48+R49+R50+R60+R59+R66+R67+R71</f>
        <v>869640858</v>
      </c>
      <c r="S77" s="206">
        <f>S15+S16+S20+S21+S29+S30+S33+S39+S48+S49+S50+S60+S59+S66+S67+S71</f>
        <v>1006693083.1800001</v>
      </c>
      <c r="T77" s="206">
        <f t="shared" si="45"/>
        <v>968007381</v>
      </c>
      <c r="U77" s="206">
        <f t="shared" si="45"/>
        <v>1129403808.21</v>
      </c>
      <c r="V77" s="206">
        <f t="shared" si="45"/>
        <v>14496</v>
      </c>
      <c r="W77" s="206">
        <f t="shared" si="45"/>
        <v>77542783.530000001</v>
      </c>
      <c r="X77" s="206">
        <f t="shared" si="45"/>
        <v>962113217.19000006</v>
      </c>
      <c r="Y77" s="206">
        <f t="shared" si="45"/>
        <v>102940741.41</v>
      </c>
      <c r="Z77" s="206">
        <f t="shared" si="45"/>
        <v>903752341.76999998</v>
      </c>
      <c r="AA77" s="206">
        <f t="shared" si="45"/>
        <v>74131605</v>
      </c>
      <c r="AB77" s="206">
        <f t="shared" si="45"/>
        <v>1055272203.21</v>
      </c>
    </row>
    <row r="78" spans="1:28">
      <c r="A78" s="189" t="s">
        <v>64</v>
      </c>
      <c r="H78" s="206">
        <f>H24+H63+H67</f>
        <v>110</v>
      </c>
      <c r="I78" s="206">
        <f>I24+I63+I67</f>
        <v>4134.2</v>
      </c>
      <c r="J78" s="206">
        <f>J24+J63+J67</f>
        <v>110</v>
      </c>
      <c r="K78" s="206">
        <f>K24+K63+K67</f>
        <v>1111</v>
      </c>
      <c r="L78" s="206">
        <f t="shared" ref="L78:P78" si="46">L24+L63+L42</f>
        <v>18685426.879999999</v>
      </c>
      <c r="M78" s="206">
        <f t="shared" si="46"/>
        <v>18685315.879999999</v>
      </c>
      <c r="N78" s="206">
        <f t="shared" si="46"/>
        <v>111</v>
      </c>
      <c r="O78" s="206">
        <f t="shared" si="46"/>
        <v>0</v>
      </c>
      <c r="P78" s="206">
        <f t="shared" si="46"/>
        <v>0</v>
      </c>
      <c r="Q78" s="206">
        <f>Q24+Q41+Q42+Q63+Q11</f>
        <v>27177587.879999999</v>
      </c>
      <c r="R78" s="206">
        <f t="shared" ref="R78:AB78" si="47">R24+R41+R42+R63+R11</f>
        <v>80995</v>
      </c>
      <c r="S78" s="206">
        <f t="shared" si="47"/>
        <v>201991</v>
      </c>
      <c r="T78" s="206">
        <f t="shared" si="47"/>
        <v>136203</v>
      </c>
      <c r="U78" s="206">
        <f t="shared" si="47"/>
        <v>185599</v>
      </c>
      <c r="V78" s="206">
        <f t="shared" si="47"/>
        <v>4535</v>
      </c>
      <c r="W78" s="206">
        <f t="shared" si="47"/>
        <v>16718335</v>
      </c>
      <c r="X78" s="206">
        <f t="shared" si="47"/>
        <v>10459252.879999999</v>
      </c>
      <c r="Y78" s="206">
        <f t="shared" si="47"/>
        <v>59209</v>
      </c>
      <c r="Z78" s="206">
        <f t="shared" si="47"/>
        <v>142782</v>
      </c>
      <c r="AA78" s="206">
        <f t="shared" si="47"/>
        <v>62063</v>
      </c>
      <c r="AB78" s="206">
        <f t="shared" si="47"/>
        <v>123536</v>
      </c>
    </row>
    <row r="79" spans="1:28">
      <c r="A79" s="189" t="s">
        <v>62</v>
      </c>
      <c r="H79" s="206">
        <f>H13+H26+H18+H57+H58</f>
        <v>1286</v>
      </c>
      <c r="I79" s="206">
        <f>I13+I26+I18+I57+I58</f>
        <v>42332</v>
      </c>
      <c r="J79" s="206">
        <f>J13+J26+J18+J57+J58</f>
        <v>1286</v>
      </c>
      <c r="K79" s="206">
        <f>K13+K26+K18+K57+K58</f>
        <v>2581</v>
      </c>
      <c r="L79" s="206">
        <f>L13+L26+L18+L57+L58+L67+L14+L31+L71+L53</f>
        <v>74719697.219999999</v>
      </c>
      <c r="M79" s="206">
        <f>M13+M26+M18+M57+M58+M67+M14+M31+M71+M53</f>
        <v>74592116.219999999</v>
      </c>
      <c r="N79" s="206">
        <f>N13+N26+N18+N57+N58+N67+N14+N31+N71+N53</f>
        <v>2649</v>
      </c>
      <c r="O79" s="206">
        <f>O13+O26+O18+O57+O58+O67+O14+O31+O71+O53</f>
        <v>0</v>
      </c>
      <c r="P79" s="206">
        <f>P13+P26+P18+P57+P58+P67+P14+P31+P71+P53</f>
        <v>0</v>
      </c>
      <c r="Q79" s="206">
        <f>Q8+Q13+Q14+Q18+Q26+Q31+Q32+Q43+Q53+Q57+Q70+Q58</f>
        <v>86017376.159999996</v>
      </c>
      <c r="R79" s="206">
        <f t="shared" ref="R79:AB79" si="48">R8+R13+R14+R18+R26+R31+R32+R43+R53+R57+R70+R58</f>
        <v>51965387.739999995</v>
      </c>
      <c r="S79" s="206">
        <f t="shared" si="48"/>
        <v>68164415.269999996</v>
      </c>
      <c r="T79" s="206">
        <f t="shared" si="48"/>
        <v>43459201</v>
      </c>
      <c r="U79" s="206">
        <f t="shared" si="48"/>
        <v>61318000</v>
      </c>
      <c r="V79" s="206">
        <f t="shared" si="48"/>
        <v>10860</v>
      </c>
      <c r="W79" s="206">
        <f t="shared" si="48"/>
        <v>11932448.67</v>
      </c>
      <c r="X79" s="206">
        <f t="shared" si="48"/>
        <v>66749551.739999995</v>
      </c>
      <c r="Y79" s="206">
        <f t="shared" si="48"/>
        <v>18287591.640000001</v>
      </c>
      <c r="Z79" s="206">
        <f t="shared" si="48"/>
        <v>49876823.629999995</v>
      </c>
      <c r="AA79" s="206">
        <f t="shared" si="48"/>
        <v>0</v>
      </c>
      <c r="AB79" s="206">
        <f t="shared" si="48"/>
        <v>61318000</v>
      </c>
    </row>
    <row r="80" spans="1:28">
      <c r="H80" s="206"/>
      <c r="I80" s="206"/>
      <c r="J80" s="206"/>
      <c r="K80" s="206"/>
      <c r="L80" s="206"/>
      <c r="M80" s="206"/>
      <c r="N80" s="206"/>
      <c r="O80" s="206"/>
      <c r="P80" s="206"/>
      <c r="Q80" s="206"/>
      <c r="R80" s="206"/>
      <c r="S80" s="206"/>
      <c r="T80" s="206"/>
      <c r="U80" s="206"/>
      <c r="V80" s="206"/>
      <c r="W80" s="206"/>
      <c r="X80" s="206"/>
      <c r="Y80" s="206"/>
      <c r="Z80" s="206"/>
      <c r="AA80" s="206"/>
      <c r="AB80" s="206"/>
    </row>
    <row r="81" spans="1:28">
      <c r="H81" s="207">
        <f t="shared" ref="H81:N81" si="49">SUM(H74:H80)</f>
        <v>609278</v>
      </c>
      <c r="I81" s="207">
        <f t="shared" si="49"/>
        <v>836101</v>
      </c>
      <c r="J81" s="207">
        <f t="shared" si="49"/>
        <v>696541</v>
      </c>
      <c r="K81" s="207">
        <f t="shared" si="49"/>
        <v>556714</v>
      </c>
      <c r="L81" s="207">
        <f>SUM(L74:L80)</f>
        <v>1181501054.1100001</v>
      </c>
      <c r="M81" s="207">
        <f t="shared" si="49"/>
        <v>1134756340.1099999</v>
      </c>
      <c r="N81" s="207">
        <f t="shared" si="49"/>
        <v>417935</v>
      </c>
      <c r="O81" s="207"/>
      <c r="P81" s="207"/>
      <c r="Q81" s="207">
        <f>SUM(Q74:Q80)</f>
        <v>1231683201.6600001</v>
      </c>
      <c r="R81" s="207">
        <f t="shared" ref="R81:AB81" si="50">SUM(R74:R80)</f>
        <v>944357561.78999996</v>
      </c>
      <c r="S81" s="207">
        <f t="shared" si="50"/>
        <v>1151657119.29</v>
      </c>
      <c r="T81" s="207">
        <f t="shared" si="50"/>
        <v>1118677110</v>
      </c>
      <c r="U81" s="207">
        <f t="shared" si="50"/>
        <v>1261033578.75</v>
      </c>
      <c r="V81" s="207">
        <f t="shared" si="50"/>
        <v>44329</v>
      </c>
      <c r="W81" s="207">
        <f t="shared" si="50"/>
        <v>113174505.81</v>
      </c>
      <c r="X81" s="207">
        <f t="shared" si="50"/>
        <v>1087173320.0999999</v>
      </c>
      <c r="Y81" s="207">
        <f t="shared" si="50"/>
        <v>137332001.74000001</v>
      </c>
      <c r="Z81" s="207">
        <f t="shared" si="50"/>
        <v>1014325117.55</v>
      </c>
      <c r="AA81" s="207">
        <f t="shared" si="50"/>
        <v>91214597.890000001</v>
      </c>
      <c r="AB81" s="207">
        <f t="shared" si="50"/>
        <v>1169818980.8600001</v>
      </c>
    </row>
    <row r="82" spans="1:28">
      <c r="H82" s="206"/>
      <c r="I82" s="206"/>
      <c r="J82" s="206"/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116"/>
      <c r="W82" s="206">
        <f t="shared" ref="W82:AB82" si="51">W81-W5</f>
        <v>0</v>
      </c>
      <c r="X82" s="206">
        <f>X81-X5</f>
        <v>0</v>
      </c>
      <c r="Y82" s="206">
        <f t="shared" si="51"/>
        <v>0</v>
      </c>
      <c r="Z82" s="206">
        <f t="shared" si="51"/>
        <v>0</v>
      </c>
      <c r="AA82" s="206">
        <f t="shared" si="51"/>
        <v>0</v>
      </c>
      <c r="AB82" s="206">
        <f t="shared" si="51"/>
        <v>0</v>
      </c>
    </row>
    <row r="83" spans="1:28">
      <c r="H83" s="206"/>
      <c r="I83" s="206"/>
      <c r="J83" s="206"/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116"/>
      <c r="W83" s="206"/>
      <c r="X83" s="206"/>
      <c r="Y83" s="206"/>
      <c r="Z83" s="206"/>
      <c r="AA83" s="206"/>
      <c r="AB83" s="206"/>
    </row>
    <row r="84" spans="1:28">
      <c r="A84" s="189">
        <v>0</v>
      </c>
      <c r="H84" s="206">
        <f t="shared" ref="H84:N84" si="52">H81-H5</f>
        <v>0</v>
      </c>
      <c r="I84" s="206">
        <f t="shared" si="52"/>
        <v>1</v>
      </c>
      <c r="J84" s="206">
        <f t="shared" si="52"/>
        <v>0</v>
      </c>
      <c r="K84" s="206">
        <f t="shared" si="52"/>
        <v>11000</v>
      </c>
      <c r="L84" s="206">
        <f t="shared" si="52"/>
        <v>-5775207.6099996567</v>
      </c>
      <c r="M84" s="206">
        <f t="shared" si="52"/>
        <v>-4562510.7999999523</v>
      </c>
      <c r="N84" s="206">
        <f t="shared" si="52"/>
        <v>0</v>
      </c>
      <c r="O84" s="206"/>
      <c r="P84" s="206"/>
      <c r="Q84" s="206">
        <f>Q81-Q5</f>
        <v>0</v>
      </c>
      <c r="R84" s="206">
        <f t="shared" ref="R84:AB84" si="53">R81-R5</f>
        <v>-38489000</v>
      </c>
      <c r="S84" s="206">
        <f t="shared" si="53"/>
        <v>0</v>
      </c>
      <c r="T84" s="206">
        <f t="shared" si="53"/>
        <v>-8000000</v>
      </c>
      <c r="U84" s="206">
        <f t="shared" si="53"/>
        <v>0</v>
      </c>
      <c r="V84" s="206"/>
      <c r="W84" s="206">
        <f t="shared" si="53"/>
        <v>0</v>
      </c>
      <c r="X84" s="206">
        <f>X81-X5</f>
        <v>0</v>
      </c>
      <c r="Y84" s="206">
        <f t="shared" si="53"/>
        <v>0</v>
      </c>
      <c r="Z84" s="206">
        <f t="shared" si="53"/>
        <v>0</v>
      </c>
      <c r="AA84" s="206">
        <f t="shared" si="53"/>
        <v>0</v>
      </c>
      <c r="AB84" s="206">
        <f t="shared" si="53"/>
        <v>0</v>
      </c>
    </row>
    <row r="85" spans="1:28"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</row>
    <row r="86" spans="1:28"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</row>
    <row r="87" spans="1:28"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</row>
    <row r="88" spans="1:28"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</row>
    <row r="89" spans="1:28"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</row>
    <row r="90" spans="1:28"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</row>
    <row r="91" spans="1:28"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116"/>
      <c r="Y91" s="116"/>
      <c r="Z91" s="116"/>
      <c r="AA91" s="116"/>
      <c r="AB91" s="116"/>
    </row>
    <row r="92" spans="1:28"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16"/>
      <c r="Z92" s="116"/>
      <c r="AA92" s="116"/>
      <c r="AB92" s="116"/>
    </row>
  </sheetData>
  <mergeCells count="3">
    <mergeCell ref="A1:S1"/>
    <mergeCell ref="A2:S2"/>
    <mergeCell ref="A3:S3"/>
  </mergeCells>
  <pageMargins left="0" right="0" top="0" bottom="0" header="0.31496062992125984" footer="0.31496062992125984"/>
  <pageSetup paperSize="9" scale="5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B84"/>
  <sheetViews>
    <sheetView workbookViewId="0">
      <pane xSplit="7" ySplit="4" topLeftCell="O48" activePane="bottomRight" state="frozen"/>
      <selection pane="topRight" activeCell="H1" sqref="H1"/>
      <selection pane="bottomLeft" activeCell="A5" sqref="A5"/>
      <selection pane="bottomRight" activeCell="Q60" sqref="Q60"/>
    </sheetView>
  </sheetViews>
  <sheetFormatPr defaultColWidth="8.85546875" defaultRowHeight="15"/>
  <cols>
    <col min="1" max="1" width="20.7109375" style="3" customWidth="1"/>
    <col min="2" max="2" width="68.7109375" style="3" customWidth="1"/>
    <col min="3" max="3" width="17.85546875" style="3" hidden="1" customWidth="1"/>
    <col min="4" max="4" width="16.140625" style="3" hidden="1" customWidth="1"/>
    <col min="5" max="5" width="18.5703125" style="3" hidden="1" customWidth="1"/>
    <col min="6" max="6" width="11.7109375" style="3" hidden="1" customWidth="1"/>
    <col min="7" max="7" width="11" style="3" hidden="1" customWidth="1"/>
    <col min="8" max="10" width="14.28515625" style="3" hidden="1" customWidth="1"/>
    <col min="11" max="11" width="13.7109375" style="3" hidden="1" customWidth="1"/>
    <col min="12" max="16" width="14.85546875" style="3" hidden="1" customWidth="1"/>
    <col min="17" max="21" width="14.85546875" style="3" customWidth="1"/>
    <col min="22" max="22" width="8.85546875" style="3"/>
    <col min="23" max="23" width="12.85546875" style="3" customWidth="1"/>
    <col min="24" max="24" width="14.28515625" style="102" customWidth="1"/>
    <col min="25" max="25" width="13.28515625" style="3" customWidth="1"/>
    <col min="26" max="26" width="13.5703125" style="102" customWidth="1"/>
    <col min="27" max="27" width="13.7109375" style="3" customWidth="1"/>
    <col min="28" max="28" width="13.28515625" style="102" customWidth="1"/>
    <col min="29" max="16384" width="8.85546875" style="3"/>
  </cols>
  <sheetData>
    <row r="1" spans="1:28" ht="12" customHeight="1">
      <c r="A1" s="398" t="s">
        <v>0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179"/>
      <c r="U1" s="179"/>
    </row>
    <row r="2" spans="1:28" ht="12" customHeight="1">
      <c r="A2" s="398" t="s">
        <v>1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179"/>
      <c r="U2" s="179"/>
    </row>
    <row r="3" spans="1:28" ht="12" customHeight="1">
      <c r="A3" s="406" t="s">
        <v>144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182"/>
      <c r="U3" s="182"/>
      <c r="V3" s="167" t="s">
        <v>135</v>
      </c>
    </row>
    <row r="4" spans="1:28" ht="26.25">
      <c r="A4" s="4" t="s">
        <v>74</v>
      </c>
      <c r="B4" s="4" t="s">
        <v>2</v>
      </c>
      <c r="C4" s="4" t="s">
        <v>34</v>
      </c>
      <c r="D4" s="5" t="s">
        <v>17</v>
      </c>
      <c r="E4" s="5" t="s">
        <v>35</v>
      </c>
      <c r="H4" s="47">
        <v>2020</v>
      </c>
      <c r="I4" s="48">
        <v>2020</v>
      </c>
      <c r="J4" s="47">
        <v>2021</v>
      </c>
      <c r="K4" s="47">
        <v>2021</v>
      </c>
      <c r="L4" s="128">
        <v>2022</v>
      </c>
      <c r="M4" s="129" t="s">
        <v>117</v>
      </c>
      <c r="N4" s="129">
        <v>2022</v>
      </c>
      <c r="O4" s="129"/>
      <c r="P4" s="129"/>
      <c r="Q4" s="128">
        <v>2023</v>
      </c>
      <c r="R4" s="175" t="s">
        <v>145</v>
      </c>
      <c r="S4" s="175">
        <v>2024</v>
      </c>
      <c r="T4" s="175" t="s">
        <v>147</v>
      </c>
      <c r="U4" s="175" t="s">
        <v>146</v>
      </c>
      <c r="V4" s="167"/>
      <c r="W4" s="106" t="s">
        <v>83</v>
      </c>
      <c r="X4" s="107" t="s">
        <v>84</v>
      </c>
      <c r="Y4" s="106" t="s">
        <v>121</v>
      </c>
      <c r="Z4" s="107" t="s">
        <v>122</v>
      </c>
      <c r="AA4" s="106" t="s">
        <v>129</v>
      </c>
      <c r="AB4" s="107" t="s">
        <v>130</v>
      </c>
    </row>
    <row r="5" spans="1:28">
      <c r="A5" s="171" t="s">
        <v>57</v>
      </c>
      <c r="B5" s="113" t="s">
        <v>58</v>
      </c>
      <c r="C5" s="16">
        <f t="shared" ref="C5:K5" si="0">C6-C63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137">
        <f>L6+L63</f>
        <v>965809073.66999996</v>
      </c>
      <c r="M5" s="137">
        <f>M6-M63</f>
        <v>927422359.66999996</v>
      </c>
      <c r="N5" s="137">
        <f>N6-N63</f>
        <v>417935</v>
      </c>
      <c r="O5" s="137"/>
      <c r="P5" s="137"/>
      <c r="Q5" s="137">
        <f>Q6-Q63</f>
        <v>982846560.78999996</v>
      </c>
      <c r="R5" s="137">
        <f>R6-R63</f>
        <v>1063263311</v>
      </c>
      <c r="S5" s="137">
        <f>S6-S63</f>
        <v>990778858.12</v>
      </c>
      <c r="T5" s="137">
        <f>T6-T63</f>
        <v>1078185008</v>
      </c>
      <c r="U5" s="137">
        <f>U6-U63</f>
        <v>1166521462</v>
      </c>
      <c r="V5" s="168"/>
      <c r="W5" s="23">
        <f t="shared" ref="W5:AB5" si="1">W6-W63</f>
        <v>97409865.039999992</v>
      </c>
      <c r="X5" s="110">
        <f t="shared" si="1"/>
        <v>868275208.63</v>
      </c>
      <c r="Y5" s="23">
        <f t="shared" si="1"/>
        <v>93405098.919999987</v>
      </c>
      <c r="Z5" s="110">
        <f t="shared" si="1"/>
        <v>889441461.87</v>
      </c>
      <c r="AA5" s="23">
        <f t="shared" si="1"/>
        <v>121667184.88</v>
      </c>
      <c r="AB5" s="110">
        <f t="shared" si="1"/>
        <v>869111673.24000001</v>
      </c>
    </row>
    <row r="6" spans="1:28" ht="24">
      <c r="A6" s="171" t="s">
        <v>22</v>
      </c>
      <c r="B6" s="165" t="s">
        <v>23</v>
      </c>
      <c r="C6" s="16">
        <f>C10+C41+C62+C7+C63</f>
        <v>864721.7</v>
      </c>
      <c r="D6" s="16">
        <f>D10+D41+D62+D7+D63</f>
        <v>360</v>
      </c>
      <c r="E6" s="16">
        <f>E10+E41+E62+E7+E63</f>
        <v>864721718.66999996</v>
      </c>
      <c r="F6" s="16">
        <f>F10+F41+F62+F7+F63</f>
        <v>832206.21461999987</v>
      </c>
      <c r="G6" s="16">
        <f>G10+G41+G62+G7+G63</f>
        <v>0.11462000000285499</v>
      </c>
      <c r="H6" s="16">
        <f>H10+H41+H62+H7+H63+H61</f>
        <v>609278</v>
      </c>
      <c r="I6" s="16">
        <f>I10+I41+I62+I7+I63+I61</f>
        <v>836100</v>
      </c>
      <c r="J6" s="16">
        <f>J10+J41+J62+J7+J63+J61</f>
        <v>696541</v>
      </c>
      <c r="K6" s="130">
        <f>K41</f>
        <v>545714</v>
      </c>
      <c r="L6" s="137">
        <f>L10+L41+L62+L7+L61+L59</f>
        <v>965685073.66999996</v>
      </c>
      <c r="M6" s="137">
        <f>M10+M41+M62+M7+M63+M61+M59</f>
        <v>927422359.66999996</v>
      </c>
      <c r="N6" s="137">
        <f>N10+N41+N62+N7+N63+N61+N59</f>
        <v>417935</v>
      </c>
      <c r="O6" s="137"/>
      <c r="P6" s="137"/>
      <c r="Q6" s="137">
        <f>Q10+Q41+Q62+Q7+Q63+Q61+Q59</f>
        <v>982846560.78999996</v>
      </c>
      <c r="R6" s="137">
        <f>R10+R41+R62+R7+R63+R61+R59</f>
        <v>1063263311</v>
      </c>
      <c r="S6" s="137">
        <f>S10+S41+S62+S7+S63+S61+S59</f>
        <v>990778858.12</v>
      </c>
      <c r="T6" s="137">
        <f>T10+T41+T62+T7+T63+T61+T59</f>
        <v>1078185008</v>
      </c>
      <c r="U6" s="137">
        <f>U10+U41+U62+U7+U63+U61+U59</f>
        <v>1166521462</v>
      </c>
      <c r="V6" s="168"/>
      <c r="W6" s="137">
        <f t="shared" ref="W6:AB6" si="2">W10+W41+W62+W7+W63+W61+W59</f>
        <v>97409865.039999992</v>
      </c>
      <c r="X6" s="137">
        <f t="shared" si="2"/>
        <v>868275208.63</v>
      </c>
      <c r="Y6" s="137">
        <f t="shared" si="2"/>
        <v>93405098.919999987</v>
      </c>
      <c r="Z6" s="137">
        <f t="shared" si="2"/>
        <v>889441461.87</v>
      </c>
      <c r="AA6" s="137">
        <f t="shared" si="2"/>
        <v>121667184.88</v>
      </c>
      <c r="AB6" s="137">
        <f t="shared" si="2"/>
        <v>869111673.24000001</v>
      </c>
    </row>
    <row r="7" spans="1:28">
      <c r="A7" s="171" t="s">
        <v>36</v>
      </c>
      <c r="B7" s="165" t="s">
        <v>26</v>
      </c>
      <c r="C7" s="16">
        <f>C9</f>
        <v>34649</v>
      </c>
      <c r="D7" s="16">
        <f>D9</f>
        <v>0</v>
      </c>
      <c r="E7" s="16">
        <f>E9</f>
        <v>34649000</v>
      </c>
      <c r="F7" s="16">
        <f>F9</f>
        <v>34649</v>
      </c>
      <c r="G7" s="16">
        <f>G9</f>
        <v>0</v>
      </c>
      <c r="H7" s="16">
        <f t="shared" ref="H7:K7" si="3">H9+H8</f>
        <v>1186</v>
      </c>
      <c r="I7" s="16">
        <f t="shared" si="3"/>
        <v>1823</v>
      </c>
      <c r="J7" s="16">
        <f t="shared" si="3"/>
        <v>0</v>
      </c>
      <c r="K7" s="130">
        <f t="shared" si="3"/>
        <v>0</v>
      </c>
      <c r="L7" s="151">
        <f t="shared" ref="L7:L8" si="4">W7+X7</f>
        <v>26214000</v>
      </c>
      <c r="M7" s="25">
        <f t="shared" ref="M7:U7" si="5">M8+M9</f>
        <v>26214000</v>
      </c>
      <c r="N7" s="25">
        <f t="shared" si="5"/>
        <v>0</v>
      </c>
      <c r="O7" s="25"/>
      <c r="P7" s="25"/>
      <c r="Q7" s="137">
        <f t="shared" si="5"/>
        <v>0</v>
      </c>
      <c r="R7" s="137">
        <f t="shared" si="5"/>
        <v>18077000</v>
      </c>
      <c r="S7" s="137">
        <f t="shared" si="5"/>
        <v>0</v>
      </c>
      <c r="T7" s="137">
        <f t="shared" si="5"/>
        <v>0</v>
      </c>
      <c r="U7" s="137">
        <f t="shared" si="5"/>
        <v>0</v>
      </c>
      <c r="V7" s="169">
        <v>0</v>
      </c>
      <c r="W7" s="24">
        <f t="shared" ref="W7:AB7" si="6">W9+W8</f>
        <v>0</v>
      </c>
      <c r="X7" s="110">
        <f>X8</f>
        <v>26214000</v>
      </c>
      <c r="Y7" s="24">
        <f t="shared" si="6"/>
        <v>0</v>
      </c>
      <c r="Z7" s="110">
        <f t="shared" si="6"/>
        <v>0</v>
      </c>
      <c r="AA7" s="24">
        <f t="shared" si="6"/>
        <v>0</v>
      </c>
      <c r="AB7" s="110">
        <f t="shared" si="6"/>
        <v>0</v>
      </c>
    </row>
    <row r="8" spans="1:28">
      <c r="A8" s="171" t="s">
        <v>76</v>
      </c>
      <c r="B8" s="165" t="s">
        <v>75</v>
      </c>
      <c r="C8" s="16"/>
      <c r="D8" s="16"/>
      <c r="E8" s="16"/>
      <c r="F8" s="125"/>
      <c r="G8" s="125"/>
      <c r="H8" s="114">
        <v>1186</v>
      </c>
      <c r="I8" s="114">
        <v>1186</v>
      </c>
      <c r="J8" s="16"/>
      <c r="K8" s="130">
        <v>0</v>
      </c>
      <c r="L8" s="151">
        <f t="shared" si="4"/>
        <v>26214000</v>
      </c>
      <c r="M8" s="65">
        <f t="shared" ref="M8:M9" si="7">L8-K8</f>
        <v>26214000</v>
      </c>
      <c r="N8" s="25">
        <v>0</v>
      </c>
      <c r="O8" s="25"/>
      <c r="P8" s="25"/>
      <c r="Q8" s="137">
        <v>0</v>
      </c>
      <c r="R8" s="137"/>
      <c r="S8" s="137">
        <v>0</v>
      </c>
      <c r="T8" s="137"/>
      <c r="U8" s="137"/>
      <c r="V8" s="169">
        <v>903</v>
      </c>
      <c r="W8" s="63"/>
      <c r="X8" s="111">
        <v>26214000</v>
      </c>
      <c r="Y8" s="63"/>
      <c r="Z8" s="105"/>
      <c r="AA8" s="63"/>
      <c r="AB8" s="105"/>
    </row>
    <row r="9" spans="1:28" ht="16.899999999999999" customHeight="1">
      <c r="A9" s="115" t="s">
        <v>148</v>
      </c>
      <c r="B9" s="30" t="s">
        <v>149</v>
      </c>
      <c r="C9" s="16">
        <f>9649+25000</f>
        <v>34649</v>
      </c>
      <c r="D9" s="16"/>
      <c r="E9" s="25">
        <f>9649000+25000000</f>
        <v>34649000</v>
      </c>
      <c r="F9" s="116">
        <f t="shared" ref="F9:F62" si="8">E9/1000</f>
        <v>34649</v>
      </c>
      <c r="G9" s="116">
        <f t="shared" ref="G9:G62" si="9">F9-C9</f>
        <v>0</v>
      </c>
      <c r="H9" s="114"/>
      <c r="I9" s="114">
        <v>637</v>
      </c>
      <c r="J9" s="114">
        <v>0</v>
      </c>
      <c r="K9" s="131">
        <v>0</v>
      </c>
      <c r="L9" s="151">
        <f>W9+X9</f>
        <v>0</v>
      </c>
      <c r="M9" s="65">
        <f t="shared" si="7"/>
        <v>0</v>
      </c>
      <c r="N9" s="65">
        <v>0</v>
      </c>
      <c r="O9" s="65"/>
      <c r="P9" s="65"/>
      <c r="Q9" s="151">
        <f>Y9+Z9</f>
        <v>0</v>
      </c>
      <c r="R9" s="185">
        <v>18077000</v>
      </c>
      <c r="S9" s="151">
        <f>AA9+AB9</f>
        <v>0</v>
      </c>
      <c r="T9" s="151"/>
      <c r="U9" s="151"/>
      <c r="V9" s="169">
        <v>903</v>
      </c>
      <c r="W9" s="63"/>
      <c r="X9" s="111"/>
      <c r="Y9" s="63"/>
      <c r="Z9" s="105"/>
      <c r="AA9" s="63"/>
      <c r="AB9" s="105"/>
    </row>
    <row r="10" spans="1:28" ht="15.6" customHeight="1">
      <c r="A10" s="171" t="s">
        <v>37</v>
      </c>
      <c r="B10" s="165" t="s">
        <v>25</v>
      </c>
      <c r="C10" s="16">
        <f t="shared" ref="C10:J10" si="10">SUM(C11:C25)</f>
        <v>99365.099999999991</v>
      </c>
      <c r="D10" s="16">
        <f t="shared" si="10"/>
        <v>0</v>
      </c>
      <c r="E10" s="16">
        <f t="shared" si="10"/>
        <v>99365090.670000002</v>
      </c>
      <c r="F10" s="16">
        <f t="shared" si="10"/>
        <v>66849.586620000002</v>
      </c>
      <c r="G10" s="16">
        <f t="shared" si="10"/>
        <v>8.6620000003062358E-2</v>
      </c>
      <c r="H10" s="16">
        <f t="shared" si="10"/>
        <v>0</v>
      </c>
      <c r="I10" s="16">
        <f>SUM(I11:I25)</f>
        <v>59336</v>
      </c>
      <c r="J10" s="16">
        <f t="shared" si="10"/>
        <v>0</v>
      </c>
      <c r="K10" s="130">
        <v>0</v>
      </c>
      <c r="L10" s="137">
        <f>SUM(L11:L25)</f>
        <v>88311273.670000002</v>
      </c>
      <c r="M10" s="137">
        <f t="shared" ref="M10:U10" si="11">SUM(M11:M25)</f>
        <v>88301273.670000002</v>
      </c>
      <c r="N10" s="137">
        <f t="shared" si="11"/>
        <v>2</v>
      </c>
      <c r="O10" s="137"/>
      <c r="P10" s="137"/>
      <c r="Q10" s="137">
        <f t="shared" si="11"/>
        <v>91677160.789999992</v>
      </c>
      <c r="R10" s="188">
        <f>SUM(R11:R25)</f>
        <v>78282311</v>
      </c>
      <c r="S10" s="137">
        <f t="shared" si="11"/>
        <v>119977858.12000002</v>
      </c>
      <c r="T10" s="137">
        <f>SUM(T11:T25)</f>
        <v>59205008</v>
      </c>
      <c r="U10" s="137">
        <f t="shared" si="11"/>
        <v>62032462</v>
      </c>
      <c r="V10" s="169"/>
      <c r="W10" s="110">
        <f>SUM(W11:W25)</f>
        <v>56230065.039999999</v>
      </c>
      <c r="X10" s="110">
        <f>SUM(X11:X25)</f>
        <v>32081208.629999999</v>
      </c>
      <c r="Y10" s="26">
        <f t="shared" ref="Y10:AB10" si="12">SUM(Y11:Y25)</f>
        <v>51023698.919999994</v>
      </c>
      <c r="Z10" s="110">
        <f t="shared" si="12"/>
        <v>40653461.869999997</v>
      </c>
      <c r="AA10" s="26">
        <f t="shared" si="12"/>
        <v>76755184.879999995</v>
      </c>
      <c r="AB10" s="110">
        <f t="shared" si="12"/>
        <v>43222673.240000002</v>
      </c>
    </row>
    <row r="11" spans="1:28" ht="37.15" customHeight="1">
      <c r="A11" s="115" t="s">
        <v>66</v>
      </c>
      <c r="B11" s="30" t="s">
        <v>154</v>
      </c>
      <c r="C11" s="16">
        <v>29411</v>
      </c>
      <c r="D11" s="16"/>
      <c r="E11" s="25">
        <v>29411000</v>
      </c>
      <c r="F11" s="116">
        <f t="shared" si="8"/>
        <v>29411</v>
      </c>
      <c r="G11" s="116">
        <f t="shared" si="9"/>
        <v>0</v>
      </c>
      <c r="H11" s="114"/>
      <c r="I11" s="114">
        <v>23860</v>
      </c>
      <c r="J11" s="114"/>
      <c r="K11" s="131">
        <v>0</v>
      </c>
      <c r="L11" s="151">
        <f t="shared" ref="L11:L24" si="13">W11+X11</f>
        <v>23000000</v>
      </c>
      <c r="M11" s="65">
        <f t="shared" ref="M11:M40" si="14">L11-K11</f>
        <v>23000000</v>
      </c>
      <c r="N11" s="65">
        <v>0</v>
      </c>
      <c r="O11" s="65"/>
      <c r="P11" s="65"/>
      <c r="Q11" s="151">
        <f t="shared" ref="Q11:Q24" si="15">Y11+Z11</f>
        <v>30000000</v>
      </c>
      <c r="R11" s="177">
        <f>30000000+4500000</f>
        <v>34500000</v>
      </c>
      <c r="S11" s="151">
        <f t="shared" ref="S11:S24" si="16">AA11+AB11</f>
        <v>30000000</v>
      </c>
      <c r="T11" s="185">
        <v>30000000</v>
      </c>
      <c r="U11" s="185">
        <v>30000000</v>
      </c>
      <c r="V11" s="169">
        <v>905</v>
      </c>
      <c r="W11" s="63"/>
      <c r="X11" s="111">
        <v>23000000</v>
      </c>
      <c r="Y11" s="63"/>
      <c r="Z11" s="111">
        <v>30000000</v>
      </c>
      <c r="AA11" s="63"/>
      <c r="AB11" s="111">
        <v>30000000</v>
      </c>
    </row>
    <row r="12" spans="1:28" ht="36" customHeight="1">
      <c r="A12" s="115" t="s">
        <v>118</v>
      </c>
      <c r="B12" s="30" t="s">
        <v>119</v>
      </c>
      <c r="C12" s="16"/>
      <c r="D12" s="16"/>
      <c r="E12" s="25"/>
      <c r="F12" s="116"/>
      <c r="G12" s="116"/>
      <c r="H12" s="114"/>
      <c r="I12" s="114">
        <v>0</v>
      </c>
      <c r="J12" s="114"/>
      <c r="K12" s="131">
        <v>0</v>
      </c>
      <c r="L12" s="151">
        <f t="shared" si="13"/>
        <v>0</v>
      </c>
      <c r="M12" s="65">
        <f t="shared" si="14"/>
        <v>0</v>
      </c>
      <c r="N12" s="65">
        <v>0</v>
      </c>
      <c r="O12" s="65"/>
      <c r="P12" s="65"/>
      <c r="Q12" s="151">
        <f t="shared" si="15"/>
        <v>1471000</v>
      </c>
      <c r="R12" s="177">
        <v>11250000</v>
      </c>
      <c r="S12" s="151">
        <f t="shared" si="16"/>
        <v>2500000</v>
      </c>
      <c r="T12" s="151"/>
      <c r="U12" s="151"/>
      <c r="V12" s="169">
        <v>905</v>
      </c>
      <c r="W12" s="63"/>
      <c r="X12" s="151"/>
      <c r="Y12" s="63"/>
      <c r="Z12" s="151">
        <v>1471000</v>
      </c>
      <c r="AA12" s="63"/>
      <c r="AB12" s="151">
        <v>2500000</v>
      </c>
    </row>
    <row r="13" spans="1:28" ht="90" hidden="1" customHeight="1">
      <c r="A13" s="115" t="s">
        <v>51</v>
      </c>
      <c r="B13" s="117" t="s">
        <v>52</v>
      </c>
      <c r="C13" s="16">
        <v>30453.9</v>
      </c>
      <c r="D13" s="16"/>
      <c r="E13" s="25">
        <v>30453878.91</v>
      </c>
      <c r="F13" s="116"/>
      <c r="G13" s="116"/>
      <c r="H13" s="114"/>
      <c r="I13" s="114"/>
      <c r="J13" s="114"/>
      <c r="K13" s="131"/>
      <c r="L13" s="151">
        <f t="shared" si="13"/>
        <v>0</v>
      </c>
      <c r="M13" s="65">
        <f t="shared" si="14"/>
        <v>0</v>
      </c>
      <c r="N13" s="65">
        <v>0</v>
      </c>
      <c r="O13" s="65"/>
      <c r="P13" s="65"/>
      <c r="Q13" s="151">
        <f t="shared" si="15"/>
        <v>0</v>
      </c>
      <c r="R13" s="151"/>
      <c r="S13" s="151">
        <f t="shared" si="16"/>
        <v>0</v>
      </c>
      <c r="T13" s="151"/>
      <c r="U13" s="151"/>
      <c r="V13" s="169"/>
      <c r="W13" s="63"/>
      <c r="X13" s="105"/>
      <c r="Y13" s="63"/>
      <c r="Z13" s="105"/>
      <c r="AA13" s="63"/>
      <c r="AB13" s="105"/>
    </row>
    <row r="14" spans="1:28" ht="69.599999999999994" hidden="1" customHeight="1">
      <c r="A14" s="115"/>
      <c r="B14" s="117" t="s">
        <v>54</v>
      </c>
      <c r="C14" s="16">
        <v>212.2</v>
      </c>
      <c r="D14" s="16"/>
      <c r="E14" s="25">
        <v>212168.14</v>
      </c>
      <c r="F14" s="116"/>
      <c r="G14" s="116"/>
      <c r="H14" s="114"/>
      <c r="I14" s="114"/>
      <c r="J14" s="114"/>
      <c r="K14" s="131"/>
      <c r="L14" s="151">
        <f t="shared" si="13"/>
        <v>0</v>
      </c>
      <c r="M14" s="65">
        <f t="shared" si="14"/>
        <v>0</v>
      </c>
      <c r="N14" s="65">
        <v>0</v>
      </c>
      <c r="O14" s="65"/>
      <c r="P14" s="65"/>
      <c r="Q14" s="151">
        <f t="shared" si="15"/>
        <v>0</v>
      </c>
      <c r="R14" s="151"/>
      <c r="S14" s="151">
        <f t="shared" si="16"/>
        <v>0</v>
      </c>
      <c r="T14" s="151"/>
      <c r="U14" s="151"/>
      <c r="V14" s="169"/>
      <c r="W14" s="63"/>
      <c r="X14" s="105"/>
      <c r="Y14" s="63"/>
      <c r="Z14" s="105"/>
      <c r="AA14" s="63"/>
      <c r="AB14" s="105"/>
    </row>
    <row r="15" spans="1:28" ht="25.9" customHeight="1">
      <c r="A15" s="115" t="s">
        <v>68</v>
      </c>
      <c r="B15" s="118" t="s">
        <v>69</v>
      </c>
      <c r="C15" s="25"/>
      <c r="D15" s="25"/>
      <c r="E15" s="25"/>
      <c r="F15" s="116"/>
      <c r="G15" s="116"/>
      <c r="H15" s="114"/>
      <c r="I15" s="114">
        <v>0</v>
      </c>
      <c r="J15" s="114"/>
      <c r="K15" s="131">
        <v>0</v>
      </c>
      <c r="L15" s="151">
        <f t="shared" si="13"/>
        <v>0</v>
      </c>
      <c r="M15" s="65">
        <f t="shared" si="14"/>
        <v>0</v>
      </c>
      <c r="N15" s="65">
        <v>0</v>
      </c>
      <c r="O15" s="65"/>
      <c r="P15" s="65"/>
      <c r="Q15" s="151">
        <f t="shared" si="15"/>
        <v>0</v>
      </c>
      <c r="R15" s="151"/>
      <c r="S15" s="151">
        <f t="shared" si="16"/>
        <v>11422109.99</v>
      </c>
      <c r="T15" s="151"/>
      <c r="U15" s="151"/>
      <c r="V15" s="169">
        <v>906</v>
      </c>
      <c r="W15" s="63"/>
      <c r="X15" s="105"/>
      <c r="Y15" s="63"/>
      <c r="Z15" s="105"/>
      <c r="AA15" s="63">
        <v>11307888.880000001</v>
      </c>
      <c r="AB15" s="105">
        <v>114221.11</v>
      </c>
    </row>
    <row r="16" spans="1:28" ht="40.15" customHeight="1">
      <c r="A16" s="115" t="s">
        <v>85</v>
      </c>
      <c r="B16" s="165" t="s">
        <v>99</v>
      </c>
      <c r="C16" s="16"/>
      <c r="D16" s="16"/>
      <c r="E16" s="25"/>
      <c r="F16" s="116"/>
      <c r="G16" s="116"/>
      <c r="H16" s="114"/>
      <c r="I16" s="114">
        <v>0</v>
      </c>
      <c r="J16" s="114"/>
      <c r="K16" s="131">
        <v>0</v>
      </c>
      <c r="L16" s="151">
        <f>W16+X16</f>
        <v>1002800</v>
      </c>
      <c r="M16" s="65">
        <f t="shared" si="14"/>
        <v>1002800</v>
      </c>
      <c r="N16" s="65">
        <v>0</v>
      </c>
      <c r="O16" s="65"/>
      <c r="P16" s="65"/>
      <c r="Q16" s="151">
        <f t="shared" si="15"/>
        <v>437200</v>
      </c>
      <c r="R16" s="151"/>
      <c r="S16" s="151">
        <f t="shared" si="16"/>
        <v>0</v>
      </c>
      <c r="T16" s="151"/>
      <c r="U16" s="151"/>
      <c r="V16" s="169">
        <v>905</v>
      </c>
      <c r="W16" s="63">
        <v>901800</v>
      </c>
      <c r="X16" s="105">
        <v>101000</v>
      </c>
      <c r="Y16" s="63">
        <v>393500</v>
      </c>
      <c r="Z16" s="105">
        <v>43700</v>
      </c>
      <c r="AA16" s="63"/>
      <c r="AB16" s="105"/>
    </row>
    <row r="17" spans="1:28" ht="40.15" customHeight="1">
      <c r="A17" s="115" t="s">
        <v>132</v>
      </c>
      <c r="B17" s="165" t="s">
        <v>133</v>
      </c>
      <c r="C17" s="16"/>
      <c r="D17" s="16"/>
      <c r="E17" s="25"/>
      <c r="F17" s="116"/>
      <c r="G17" s="116"/>
      <c r="H17" s="114"/>
      <c r="I17" s="114"/>
      <c r="J17" s="114"/>
      <c r="K17" s="131"/>
      <c r="L17" s="151">
        <f t="shared" ref="L17" si="17">W17+X17</f>
        <v>0</v>
      </c>
      <c r="M17" s="65">
        <f t="shared" si="14"/>
        <v>0</v>
      </c>
      <c r="N17" s="65">
        <v>1</v>
      </c>
      <c r="O17" s="65"/>
      <c r="P17" s="65"/>
      <c r="Q17" s="151">
        <f t="shared" si="15"/>
        <v>0</v>
      </c>
      <c r="R17" s="151"/>
      <c r="S17" s="151">
        <f t="shared" si="16"/>
        <v>12000000</v>
      </c>
      <c r="T17" s="151"/>
      <c r="U17" s="151"/>
      <c r="V17" s="169">
        <v>906</v>
      </c>
      <c r="W17" s="63"/>
      <c r="X17" s="105"/>
      <c r="Y17" s="63"/>
      <c r="Z17" s="105"/>
      <c r="AA17" s="63">
        <v>11880000</v>
      </c>
      <c r="AB17" s="105">
        <v>120000</v>
      </c>
    </row>
    <row r="18" spans="1:28" ht="35.450000000000003" customHeight="1">
      <c r="A18" s="115" t="s">
        <v>112</v>
      </c>
      <c r="B18" s="165" t="s">
        <v>113</v>
      </c>
      <c r="C18" s="16"/>
      <c r="D18" s="16"/>
      <c r="E18" s="25"/>
      <c r="F18" s="116"/>
      <c r="G18" s="116"/>
      <c r="H18" s="114"/>
      <c r="I18" s="114"/>
      <c r="J18" s="114"/>
      <c r="K18" s="131">
        <v>0</v>
      </c>
      <c r="L18" s="151">
        <f t="shared" si="13"/>
        <v>38569434</v>
      </c>
      <c r="M18" s="65">
        <f t="shared" si="14"/>
        <v>38569434</v>
      </c>
      <c r="N18" s="65">
        <v>1</v>
      </c>
      <c r="O18" s="65"/>
      <c r="P18" s="65"/>
      <c r="Q18" s="151">
        <f t="shared" si="15"/>
        <v>36323037</v>
      </c>
      <c r="R18" s="151"/>
      <c r="S18" s="151">
        <f t="shared" si="16"/>
        <v>37343133</v>
      </c>
      <c r="T18" s="151"/>
      <c r="U18" s="151"/>
      <c r="V18" s="169">
        <v>906</v>
      </c>
      <c r="W18" s="63">
        <v>34712491</v>
      </c>
      <c r="X18" s="105">
        <v>3856943</v>
      </c>
      <c r="Y18" s="63">
        <v>32690733</v>
      </c>
      <c r="Z18" s="105">
        <v>3632304</v>
      </c>
      <c r="AA18" s="63">
        <v>33608820</v>
      </c>
      <c r="AB18" s="105">
        <v>3734313</v>
      </c>
    </row>
    <row r="19" spans="1:28" ht="30" customHeight="1">
      <c r="A19" s="183" t="s">
        <v>150</v>
      </c>
      <c r="B19" s="42" t="s">
        <v>151</v>
      </c>
      <c r="C19" s="56"/>
      <c r="D19" s="56"/>
      <c r="E19" s="57"/>
      <c r="F19" s="51"/>
      <c r="G19" s="51"/>
      <c r="H19" s="61"/>
      <c r="I19" s="61"/>
      <c r="J19" s="61"/>
      <c r="K19" s="184"/>
      <c r="L19" s="66"/>
      <c r="M19" s="66"/>
      <c r="N19" s="66"/>
      <c r="O19" s="66"/>
      <c r="P19" s="66"/>
      <c r="Q19" s="66"/>
      <c r="R19" s="66"/>
      <c r="S19" s="66"/>
      <c r="T19" s="186">
        <v>8000000</v>
      </c>
      <c r="U19" s="186">
        <v>21010000</v>
      </c>
      <c r="V19" s="176">
        <v>905</v>
      </c>
      <c r="W19" s="63"/>
      <c r="X19" s="105"/>
      <c r="Y19" s="63"/>
      <c r="Z19" s="105"/>
      <c r="AA19" s="63"/>
      <c r="AB19" s="105"/>
    </row>
    <row r="20" spans="1:28" ht="37.5" customHeight="1">
      <c r="A20" s="119" t="s">
        <v>41</v>
      </c>
      <c r="B20" s="40" t="s">
        <v>70</v>
      </c>
      <c r="C20" s="25">
        <v>1770.5</v>
      </c>
      <c r="D20" s="25"/>
      <c r="E20" s="25">
        <v>1770457</v>
      </c>
      <c r="F20" s="116"/>
      <c r="G20" s="116"/>
      <c r="H20" s="114"/>
      <c r="I20" s="114">
        <v>2906</v>
      </c>
      <c r="J20" s="114"/>
      <c r="K20" s="131">
        <v>0</v>
      </c>
      <c r="L20" s="151">
        <f t="shared" si="13"/>
        <v>1337743.5999999999</v>
      </c>
      <c r="M20" s="65">
        <f t="shared" si="14"/>
        <v>1337743.5999999999</v>
      </c>
      <c r="N20" s="65">
        <v>0</v>
      </c>
      <c r="O20" s="65"/>
      <c r="P20" s="65"/>
      <c r="Q20" s="151">
        <f t="shared" si="15"/>
        <v>1380921.05</v>
      </c>
      <c r="R20" s="151"/>
      <c r="S20" s="151">
        <f t="shared" si="16"/>
        <v>1581166.04</v>
      </c>
      <c r="T20" s="151"/>
      <c r="U20" s="151"/>
      <c r="V20" s="169">
        <v>902</v>
      </c>
      <c r="W20" s="63">
        <v>1060634.92</v>
      </c>
      <c r="X20" s="105">
        <v>277108.68</v>
      </c>
      <c r="Y20" s="63">
        <v>1094794.05</v>
      </c>
      <c r="Z20" s="105">
        <v>286127</v>
      </c>
      <c r="AA20" s="63">
        <v>1250281.25</v>
      </c>
      <c r="AB20" s="105">
        <v>330884.78999999998</v>
      </c>
    </row>
    <row r="21" spans="1:28">
      <c r="A21" s="171" t="s">
        <v>38</v>
      </c>
      <c r="B21" s="30" t="s">
        <v>131</v>
      </c>
      <c r="C21" s="16">
        <v>19.2</v>
      </c>
      <c r="D21" s="16"/>
      <c r="E21" s="25">
        <v>19200</v>
      </c>
      <c r="F21" s="116">
        <f>E21/1000</f>
        <v>19.2</v>
      </c>
      <c r="G21" s="116">
        <f>F21-C21</f>
        <v>0</v>
      </c>
      <c r="H21" s="114"/>
      <c r="I21" s="114">
        <v>4024.2</v>
      </c>
      <c r="J21" s="114"/>
      <c r="K21" s="131">
        <v>0</v>
      </c>
      <c r="L21" s="151">
        <f t="shared" si="13"/>
        <v>8683217</v>
      </c>
      <c r="M21" s="65">
        <f t="shared" si="14"/>
        <v>8683217</v>
      </c>
      <c r="N21" s="65">
        <v>0</v>
      </c>
      <c r="O21" s="65"/>
      <c r="P21" s="65"/>
      <c r="Q21" s="151">
        <f>Y21+Z21</f>
        <v>80995</v>
      </c>
      <c r="R21" s="177">
        <v>1940161</v>
      </c>
      <c r="S21" s="151">
        <f t="shared" si="16"/>
        <v>80995</v>
      </c>
      <c r="T21" s="185">
        <v>26139</v>
      </c>
      <c r="U21" s="185">
        <v>26139</v>
      </c>
      <c r="V21" s="169">
        <v>907</v>
      </c>
      <c r="W21" s="63">
        <f>7742000+72896</f>
        <v>7814896</v>
      </c>
      <c r="X21" s="105">
        <f>860222+8099</f>
        <v>868321</v>
      </c>
      <c r="Y21" s="63">
        <v>72896</v>
      </c>
      <c r="Z21" s="105">
        <v>8099</v>
      </c>
      <c r="AA21" s="63">
        <v>72896</v>
      </c>
      <c r="AB21" s="105">
        <v>8099</v>
      </c>
    </row>
    <row r="22" spans="1:28" ht="59.25" customHeight="1">
      <c r="A22" s="115" t="s">
        <v>78</v>
      </c>
      <c r="B22" s="118" t="s">
        <v>125</v>
      </c>
      <c r="C22" s="25">
        <v>10592.8</v>
      </c>
      <c r="D22" s="25"/>
      <c r="E22" s="25">
        <v>10592830</v>
      </c>
      <c r="F22" s="116">
        <f>E22/1000</f>
        <v>10592.83</v>
      </c>
      <c r="G22" s="116">
        <f>F22-C22</f>
        <v>3.0000000000654836E-2</v>
      </c>
      <c r="H22" s="114"/>
      <c r="I22" s="114">
        <v>5000</v>
      </c>
      <c r="J22" s="114"/>
      <c r="K22" s="131">
        <v>10000</v>
      </c>
      <c r="L22" s="151">
        <f t="shared" si="13"/>
        <v>0</v>
      </c>
      <c r="M22" s="65">
        <f t="shared" si="14"/>
        <v>-10000</v>
      </c>
      <c r="N22" s="65">
        <v>0</v>
      </c>
      <c r="O22" s="65"/>
      <c r="P22" s="65"/>
      <c r="Q22" s="151">
        <f t="shared" si="15"/>
        <v>0</v>
      </c>
      <c r="R22" s="151"/>
      <c r="S22" s="151">
        <f t="shared" si="16"/>
        <v>0</v>
      </c>
      <c r="T22" s="151"/>
      <c r="U22" s="151"/>
      <c r="V22" s="169" t="s">
        <v>61</v>
      </c>
      <c r="W22" s="63"/>
      <c r="X22" s="105"/>
      <c r="Y22" s="63"/>
      <c r="Z22" s="105"/>
      <c r="AA22" s="63"/>
      <c r="AB22" s="105"/>
    </row>
    <row r="23" spans="1:28" ht="27.75" customHeight="1">
      <c r="A23" s="171" t="s">
        <v>39</v>
      </c>
      <c r="B23" s="30" t="s">
        <v>59</v>
      </c>
      <c r="C23" s="25">
        <v>19852.8</v>
      </c>
      <c r="D23" s="25"/>
      <c r="E23" s="25">
        <v>19852840.23</v>
      </c>
      <c r="F23" s="116">
        <f t="shared" si="8"/>
        <v>19852.840230000002</v>
      </c>
      <c r="G23" s="116">
        <f t="shared" si="9"/>
        <v>4.0230000002338784E-2</v>
      </c>
      <c r="H23" s="114"/>
      <c r="I23" s="114">
        <v>17176</v>
      </c>
      <c r="J23" s="114"/>
      <c r="K23" s="131">
        <v>0</v>
      </c>
      <c r="L23" s="151">
        <f t="shared" si="13"/>
        <v>11858831.43</v>
      </c>
      <c r="M23" s="65">
        <f t="shared" si="14"/>
        <v>11858831.43</v>
      </c>
      <c r="N23" s="65">
        <v>0</v>
      </c>
      <c r="O23" s="65"/>
      <c r="P23" s="65"/>
      <c r="Q23" s="151">
        <f>Y23+Z23</f>
        <v>16941187.739999998</v>
      </c>
      <c r="R23" s="185">
        <v>4000000</v>
      </c>
      <c r="S23" s="151">
        <f t="shared" si="16"/>
        <v>18823534.09</v>
      </c>
      <c r="T23" s="151"/>
      <c r="U23" s="151"/>
      <c r="V23" s="169">
        <v>905</v>
      </c>
      <c r="W23" s="6">
        <v>11740243.119999999</v>
      </c>
      <c r="X23" s="105">
        <v>118588.31</v>
      </c>
      <c r="Y23" s="63">
        <v>16771775.869999999</v>
      </c>
      <c r="Z23" s="105">
        <v>169411.87</v>
      </c>
      <c r="AA23" s="63">
        <v>18635298.75</v>
      </c>
      <c r="AB23" s="105">
        <v>188235.34</v>
      </c>
    </row>
    <row r="24" spans="1:28" ht="24.75">
      <c r="A24" s="119" t="s">
        <v>40</v>
      </c>
      <c r="B24" s="120" t="s">
        <v>24</v>
      </c>
      <c r="C24" s="25"/>
      <c r="D24" s="25"/>
      <c r="E24" s="25"/>
      <c r="F24" s="116">
        <f t="shared" si="8"/>
        <v>0</v>
      </c>
      <c r="G24" s="116">
        <f t="shared" si="9"/>
        <v>0</v>
      </c>
      <c r="H24" s="114"/>
      <c r="I24" s="114"/>
      <c r="J24" s="114"/>
      <c r="K24" s="131">
        <v>0</v>
      </c>
      <c r="L24" s="151">
        <f t="shared" si="13"/>
        <v>0</v>
      </c>
      <c r="M24" s="65">
        <f t="shared" si="14"/>
        <v>0</v>
      </c>
      <c r="N24" s="65">
        <v>0</v>
      </c>
      <c r="O24" s="65"/>
      <c r="P24" s="65"/>
      <c r="Q24" s="151">
        <f t="shared" si="15"/>
        <v>0</v>
      </c>
      <c r="R24" s="151"/>
      <c r="S24" s="151">
        <f t="shared" si="16"/>
        <v>0</v>
      </c>
      <c r="T24" s="151"/>
      <c r="U24" s="151"/>
      <c r="V24" s="169"/>
      <c r="W24" s="63"/>
      <c r="X24" s="105"/>
      <c r="Y24" s="63"/>
      <c r="Z24" s="105"/>
      <c r="AA24" s="63"/>
      <c r="AB24" s="105"/>
    </row>
    <row r="25" spans="1:28">
      <c r="A25" s="171" t="s">
        <v>42</v>
      </c>
      <c r="B25" s="30" t="s">
        <v>20</v>
      </c>
      <c r="C25" s="25">
        <f>C26+C27+C30+C32+C37+C28+C31+C38+C39+C40</f>
        <v>7052.7</v>
      </c>
      <c r="D25" s="25">
        <f>D26+D27+D30+D32+D37+D28+D31+D38+D39+D40</f>
        <v>0</v>
      </c>
      <c r="E25" s="25">
        <f>E26+E27+E30+E32+E37+E28+E31+E38+E39+E40</f>
        <v>7052716.3899999997</v>
      </c>
      <c r="F25" s="25">
        <f>F26+F27+F30+F32+F37+F28+F31+F38+F39+F40</f>
        <v>6973.7163900000005</v>
      </c>
      <c r="G25" s="25">
        <f>G26+G27+G30+G32+G37+G28+G31+G38+G39+G40</f>
        <v>1.6390000000068738E-2</v>
      </c>
      <c r="H25" s="16">
        <f t="shared" ref="H25:N25" si="18">SUM(H26:H40)</f>
        <v>0</v>
      </c>
      <c r="I25" s="16">
        <f t="shared" si="18"/>
        <v>6369.8</v>
      </c>
      <c r="J25" s="16">
        <f t="shared" si="18"/>
        <v>0</v>
      </c>
      <c r="K25" s="130">
        <f t="shared" si="18"/>
        <v>0</v>
      </c>
      <c r="L25" s="137">
        <f t="shared" si="18"/>
        <v>3859247.64</v>
      </c>
      <c r="M25" s="65">
        <f t="shared" si="14"/>
        <v>3859247.64</v>
      </c>
      <c r="N25" s="32">
        <f t="shared" si="18"/>
        <v>0</v>
      </c>
      <c r="O25" s="32"/>
      <c r="P25" s="32"/>
      <c r="Q25" s="137">
        <f>SUM(Q26:Q40)</f>
        <v>5042820</v>
      </c>
      <c r="R25" s="137">
        <f>SUM(R26:R40)</f>
        <v>26592150</v>
      </c>
      <c r="S25" s="137">
        <f t="shared" ref="S25:U25" si="19">SUM(S26:S40)</f>
        <v>6226920</v>
      </c>
      <c r="T25" s="137">
        <f t="shared" si="19"/>
        <v>21178869</v>
      </c>
      <c r="U25" s="137">
        <f t="shared" si="19"/>
        <v>10996323</v>
      </c>
      <c r="V25" s="169"/>
      <c r="W25" s="110">
        <f t="shared" ref="W25:AB25" si="20">SUM(W26:W40)</f>
        <v>0</v>
      </c>
      <c r="X25" s="110">
        <f t="shared" si="20"/>
        <v>3859247.64</v>
      </c>
      <c r="Y25" s="28">
        <f t="shared" si="20"/>
        <v>0</v>
      </c>
      <c r="Z25" s="110">
        <f t="shared" si="20"/>
        <v>5042820</v>
      </c>
      <c r="AA25" s="28">
        <f t="shared" si="20"/>
        <v>0</v>
      </c>
      <c r="AB25" s="110">
        <f t="shared" si="20"/>
        <v>6226920</v>
      </c>
    </row>
    <row r="26" spans="1:28" ht="14.45" customHeight="1">
      <c r="A26" s="171"/>
      <c r="B26" s="30" t="s">
        <v>21</v>
      </c>
      <c r="C26" s="25">
        <f>3236+2126</f>
        <v>5362</v>
      </c>
      <c r="D26" s="25"/>
      <c r="E26" s="25">
        <f>3236000+2126000</f>
        <v>5362000</v>
      </c>
      <c r="F26" s="116">
        <f t="shared" si="8"/>
        <v>5362</v>
      </c>
      <c r="G26" s="116">
        <f t="shared" si="9"/>
        <v>0</v>
      </c>
      <c r="H26" s="114"/>
      <c r="I26" s="114">
        <v>5412</v>
      </c>
      <c r="J26" s="114"/>
      <c r="K26" s="131">
        <v>0</v>
      </c>
      <c r="L26" s="151">
        <f t="shared" ref="L26:L40" si="21">W26+X26</f>
        <v>1173820</v>
      </c>
      <c r="M26" s="65">
        <f t="shared" si="14"/>
        <v>1173820</v>
      </c>
      <c r="N26" s="65">
        <v>0</v>
      </c>
      <c r="O26" s="65"/>
      <c r="P26" s="65"/>
      <c r="Q26" s="151">
        <f>Y26+Z26</f>
        <v>1173820</v>
      </c>
      <c r="R26" s="177">
        <v>2314762</v>
      </c>
      <c r="S26" s="151">
        <f t="shared" ref="S26:S40" si="22">AA26+AB26</f>
        <v>1173820</v>
      </c>
      <c r="T26" s="185">
        <v>1157381</v>
      </c>
      <c r="U26" s="185">
        <v>1157381</v>
      </c>
      <c r="V26" s="169">
        <v>906</v>
      </c>
      <c r="W26" s="63">
        <v>0</v>
      </c>
      <c r="X26" s="111">
        <v>1173820</v>
      </c>
      <c r="Y26" s="63"/>
      <c r="Z26" s="111">
        <v>1173820</v>
      </c>
      <c r="AA26" s="63"/>
      <c r="AB26" s="111">
        <v>1173820</v>
      </c>
    </row>
    <row r="27" spans="1:28" ht="16.149999999999999" customHeight="1">
      <c r="A27" s="171"/>
      <c r="B27" s="30" t="s">
        <v>123</v>
      </c>
      <c r="C27" s="25">
        <v>500</v>
      </c>
      <c r="D27" s="25"/>
      <c r="E27" s="25">
        <v>500000</v>
      </c>
      <c r="F27" s="116">
        <f t="shared" si="8"/>
        <v>500</v>
      </c>
      <c r="G27" s="116">
        <f t="shared" si="9"/>
        <v>0</v>
      </c>
      <c r="H27" s="114"/>
      <c r="I27" s="114">
        <v>543.79999999999995</v>
      </c>
      <c r="J27" s="114"/>
      <c r="K27" s="131">
        <v>0</v>
      </c>
      <c r="L27" s="151">
        <f t="shared" si="21"/>
        <v>1000000</v>
      </c>
      <c r="M27" s="65">
        <f t="shared" si="14"/>
        <v>1000000</v>
      </c>
      <c r="N27" s="65">
        <v>0</v>
      </c>
      <c r="O27" s="65"/>
      <c r="P27" s="65"/>
      <c r="Q27" s="151">
        <f t="shared" ref="Q27:Q40" si="23">Y27+Z27</f>
        <v>1700000</v>
      </c>
      <c r="R27" s="177">
        <v>7945000</v>
      </c>
      <c r="S27" s="151">
        <f t="shared" si="22"/>
        <v>2017000</v>
      </c>
      <c r="T27" s="185">
        <v>4295000</v>
      </c>
      <c r="U27" s="185">
        <v>3795000</v>
      </c>
      <c r="V27" s="169">
        <v>906</v>
      </c>
      <c r="W27" s="63"/>
      <c r="X27" s="111">
        <v>1000000</v>
      </c>
      <c r="Y27" s="63"/>
      <c r="Z27" s="111">
        <v>1700000</v>
      </c>
      <c r="AA27" s="63"/>
      <c r="AB27" s="111">
        <v>2017000</v>
      </c>
    </row>
    <row r="28" spans="1:28" ht="16.899999999999999" customHeight="1">
      <c r="A28" s="171"/>
      <c r="B28" s="40" t="s">
        <v>120</v>
      </c>
      <c r="C28" s="25"/>
      <c r="D28" s="25"/>
      <c r="E28" s="25"/>
      <c r="F28" s="116">
        <f t="shared" si="8"/>
        <v>0</v>
      </c>
      <c r="G28" s="116">
        <f t="shared" si="9"/>
        <v>0</v>
      </c>
      <c r="H28" s="114"/>
      <c r="I28" s="114"/>
      <c r="J28" s="114"/>
      <c r="K28" s="131">
        <v>0</v>
      </c>
      <c r="L28" s="151">
        <f t="shared" si="21"/>
        <v>0</v>
      </c>
      <c r="M28" s="65">
        <f t="shared" si="14"/>
        <v>0</v>
      </c>
      <c r="N28" s="65">
        <v>0</v>
      </c>
      <c r="O28" s="65"/>
      <c r="P28" s="65"/>
      <c r="Q28" s="151">
        <f t="shared" si="23"/>
        <v>0</v>
      </c>
      <c r="R28" s="151"/>
      <c r="S28" s="151">
        <f t="shared" si="22"/>
        <v>1767100</v>
      </c>
      <c r="T28" s="185">
        <v>1767100</v>
      </c>
      <c r="U28" s="151"/>
      <c r="V28" s="169">
        <v>905</v>
      </c>
      <c r="W28" s="63"/>
      <c r="X28" s="105"/>
      <c r="Y28" s="63"/>
      <c r="Z28" s="105"/>
      <c r="AA28" s="63"/>
      <c r="AB28" s="105">
        <v>1767100</v>
      </c>
    </row>
    <row r="29" spans="1:28" ht="24.75">
      <c r="A29" s="171"/>
      <c r="B29" s="121" t="s">
        <v>88</v>
      </c>
      <c r="C29" s="25"/>
      <c r="D29" s="25"/>
      <c r="E29" s="25"/>
      <c r="F29" s="116"/>
      <c r="G29" s="116"/>
      <c r="H29" s="114"/>
      <c r="I29" s="114"/>
      <c r="J29" s="114"/>
      <c r="K29" s="131">
        <v>0</v>
      </c>
      <c r="L29" s="151">
        <f t="shared" si="21"/>
        <v>1000000</v>
      </c>
      <c r="M29" s="65">
        <f t="shared" si="14"/>
        <v>1000000</v>
      </c>
      <c r="N29" s="65">
        <v>0</v>
      </c>
      <c r="O29" s="65"/>
      <c r="P29" s="65"/>
      <c r="Q29" s="151">
        <f t="shared" si="23"/>
        <v>1500000</v>
      </c>
      <c r="R29" s="177">
        <v>5001000</v>
      </c>
      <c r="S29" s="151">
        <f t="shared" si="22"/>
        <v>600000</v>
      </c>
      <c r="T29" s="185">
        <v>2701000</v>
      </c>
      <c r="U29" s="185">
        <v>2988900</v>
      </c>
      <c r="V29" s="169">
        <v>906</v>
      </c>
      <c r="W29" s="63"/>
      <c r="X29" s="105">
        <v>1000000</v>
      </c>
      <c r="Y29" s="63"/>
      <c r="Z29" s="111">
        <v>1500000</v>
      </c>
      <c r="AA29" s="63"/>
      <c r="AB29" s="111">
        <v>600000</v>
      </c>
    </row>
    <row r="30" spans="1:28" ht="15" customHeight="1">
      <c r="A30" s="171"/>
      <c r="B30" s="30" t="s">
        <v>89</v>
      </c>
      <c r="C30" s="25">
        <v>508.9</v>
      </c>
      <c r="D30" s="25"/>
      <c r="E30" s="25">
        <v>508947.39</v>
      </c>
      <c r="F30" s="116">
        <f t="shared" si="8"/>
        <v>508.94739000000004</v>
      </c>
      <c r="G30" s="116">
        <f t="shared" si="9"/>
        <v>4.7390000000063992E-2</v>
      </c>
      <c r="H30" s="114"/>
      <c r="I30" s="114">
        <v>111</v>
      </c>
      <c r="J30" s="114"/>
      <c r="K30" s="131">
        <v>0</v>
      </c>
      <c r="L30" s="151">
        <f t="shared" si="21"/>
        <v>109000</v>
      </c>
      <c r="M30" s="65">
        <f t="shared" si="14"/>
        <v>109000</v>
      </c>
      <c r="N30" s="65">
        <v>0</v>
      </c>
      <c r="O30" s="65"/>
      <c r="P30" s="65"/>
      <c r="Q30" s="151">
        <f t="shared" si="23"/>
        <v>109000</v>
      </c>
      <c r="R30" s="177">
        <v>182000</v>
      </c>
      <c r="S30" s="151">
        <f t="shared" si="22"/>
        <v>109000</v>
      </c>
      <c r="T30" s="185">
        <v>109000</v>
      </c>
      <c r="U30" s="185">
        <v>109000</v>
      </c>
      <c r="V30" s="169">
        <v>902</v>
      </c>
      <c r="W30" s="63"/>
      <c r="X30" s="111">
        <v>109000</v>
      </c>
      <c r="Y30" s="63"/>
      <c r="Z30" s="111">
        <v>109000</v>
      </c>
      <c r="AA30" s="63"/>
      <c r="AB30" s="111">
        <v>109000</v>
      </c>
    </row>
    <row r="31" spans="1:28" ht="42.75" customHeight="1">
      <c r="A31" s="171"/>
      <c r="B31" s="30" t="s">
        <v>31</v>
      </c>
      <c r="C31" s="16">
        <v>31.3</v>
      </c>
      <c r="D31" s="16"/>
      <c r="E31" s="25">
        <v>31250</v>
      </c>
      <c r="F31" s="116">
        <f t="shared" si="8"/>
        <v>31.25</v>
      </c>
      <c r="G31" s="116">
        <f t="shared" si="9"/>
        <v>-5.0000000000000711E-2</v>
      </c>
      <c r="H31" s="114"/>
      <c r="I31" s="114">
        <v>32</v>
      </c>
      <c r="J31" s="114"/>
      <c r="K31" s="131">
        <v>0</v>
      </c>
      <c r="L31" s="151">
        <f t="shared" si="21"/>
        <v>105000</v>
      </c>
      <c r="M31" s="65">
        <f t="shared" si="14"/>
        <v>105000</v>
      </c>
      <c r="N31" s="65">
        <v>0</v>
      </c>
      <c r="O31" s="65"/>
      <c r="P31" s="65"/>
      <c r="Q31" s="151">
        <f t="shared" si="23"/>
        <v>105000</v>
      </c>
      <c r="R31" s="177">
        <v>144000</v>
      </c>
      <c r="S31" s="151">
        <f t="shared" si="22"/>
        <v>105000</v>
      </c>
      <c r="T31" s="185">
        <v>144000</v>
      </c>
      <c r="U31" s="185">
        <v>144000</v>
      </c>
      <c r="V31" s="169">
        <v>902</v>
      </c>
      <c r="W31" s="63"/>
      <c r="X31" s="111">
        <v>105000</v>
      </c>
      <c r="Y31" s="63"/>
      <c r="Z31" s="111">
        <v>105000</v>
      </c>
      <c r="AA31" s="63"/>
      <c r="AB31" s="111">
        <v>105000</v>
      </c>
    </row>
    <row r="32" spans="1:28" ht="24">
      <c r="A32" s="171"/>
      <c r="B32" s="165" t="s">
        <v>28</v>
      </c>
      <c r="C32" s="16">
        <v>571.5</v>
      </c>
      <c r="D32" s="16"/>
      <c r="E32" s="25">
        <v>571519</v>
      </c>
      <c r="F32" s="116">
        <f t="shared" si="8"/>
        <v>571.51900000000001</v>
      </c>
      <c r="G32" s="116">
        <f t="shared" si="9"/>
        <v>1.9000000000005457E-2</v>
      </c>
      <c r="H32" s="114"/>
      <c r="I32" s="114">
        <v>271</v>
      </c>
      <c r="J32" s="114"/>
      <c r="K32" s="131">
        <v>0</v>
      </c>
      <c r="L32" s="151">
        <f t="shared" si="21"/>
        <v>455000</v>
      </c>
      <c r="M32" s="65">
        <f t="shared" si="14"/>
        <v>455000</v>
      </c>
      <c r="N32" s="65">
        <v>0</v>
      </c>
      <c r="O32" s="65"/>
      <c r="P32" s="65"/>
      <c r="Q32" s="151">
        <f t="shared" si="23"/>
        <v>455000</v>
      </c>
      <c r="R32" s="177">
        <v>387324</v>
      </c>
      <c r="S32" s="151">
        <f t="shared" si="22"/>
        <v>455000</v>
      </c>
      <c r="T32" s="185">
        <v>387324</v>
      </c>
      <c r="U32" s="185">
        <v>387324</v>
      </c>
      <c r="V32" s="169">
        <v>902</v>
      </c>
      <c r="W32" s="63"/>
      <c r="X32" s="111">
        <v>455000</v>
      </c>
      <c r="Y32" s="63"/>
      <c r="Z32" s="111">
        <v>455000</v>
      </c>
      <c r="AA32" s="63"/>
      <c r="AB32" s="111">
        <v>455000</v>
      </c>
    </row>
    <row r="33" spans="1:28" ht="24">
      <c r="A33" s="171"/>
      <c r="B33" s="42" t="s">
        <v>157</v>
      </c>
      <c r="C33" s="56"/>
      <c r="D33" s="56"/>
      <c r="E33" s="57"/>
      <c r="F33" s="51"/>
      <c r="G33" s="51"/>
      <c r="H33" s="61"/>
      <c r="I33" s="61"/>
      <c r="J33" s="61"/>
      <c r="K33" s="184"/>
      <c r="L33" s="66"/>
      <c r="M33" s="66"/>
      <c r="N33" s="66"/>
      <c r="O33" s="66"/>
      <c r="P33" s="66"/>
      <c r="Q33" s="66"/>
      <c r="R33" s="73">
        <v>5000000</v>
      </c>
      <c r="S33" s="66"/>
      <c r="T33" s="186">
        <v>5000000</v>
      </c>
      <c r="U33" s="73"/>
      <c r="V33" s="169">
        <v>902</v>
      </c>
      <c r="W33" s="63"/>
      <c r="X33" s="111"/>
      <c r="Y33" s="63"/>
      <c r="Z33" s="111"/>
      <c r="AA33" s="63"/>
      <c r="AB33" s="111"/>
    </row>
    <row r="34" spans="1:28" ht="24">
      <c r="A34" s="171"/>
      <c r="B34" s="42" t="s">
        <v>155</v>
      </c>
      <c r="C34" s="56"/>
      <c r="D34" s="56"/>
      <c r="E34" s="57"/>
      <c r="F34" s="51"/>
      <c r="G34" s="51"/>
      <c r="H34" s="61"/>
      <c r="I34" s="61"/>
      <c r="J34" s="61"/>
      <c r="K34" s="184"/>
      <c r="L34" s="66"/>
      <c r="M34" s="66"/>
      <c r="N34" s="66"/>
      <c r="O34" s="66"/>
      <c r="P34" s="66"/>
      <c r="Q34" s="66"/>
      <c r="R34" s="73">
        <v>5000000</v>
      </c>
      <c r="S34" s="66"/>
      <c r="T34" s="186">
        <v>5000000</v>
      </c>
      <c r="U34" s="73"/>
      <c r="V34" s="169">
        <v>902</v>
      </c>
      <c r="W34" s="63"/>
      <c r="X34" s="111"/>
      <c r="Y34" s="63"/>
      <c r="Z34" s="111"/>
      <c r="AA34" s="63"/>
      <c r="AB34" s="111"/>
    </row>
    <row r="35" spans="1:28" ht="24">
      <c r="A35" s="171"/>
      <c r="B35" s="42" t="s">
        <v>156</v>
      </c>
      <c r="C35" s="56"/>
      <c r="D35" s="56"/>
      <c r="E35" s="57"/>
      <c r="F35" s="51"/>
      <c r="G35" s="51"/>
      <c r="H35" s="61"/>
      <c r="I35" s="61"/>
      <c r="J35" s="61"/>
      <c r="K35" s="184"/>
      <c r="L35" s="66"/>
      <c r="M35" s="66"/>
      <c r="N35" s="66"/>
      <c r="O35" s="66"/>
      <c r="P35" s="66"/>
      <c r="Q35" s="66"/>
      <c r="R35" s="73">
        <v>600000</v>
      </c>
      <c r="S35" s="66"/>
      <c r="T35" s="73">
        <v>600000</v>
      </c>
      <c r="U35" s="73">
        <v>600000</v>
      </c>
      <c r="V35" s="169">
        <v>902</v>
      </c>
      <c r="W35" s="63"/>
      <c r="X35" s="111"/>
      <c r="Y35" s="63"/>
      <c r="Z35" s="111"/>
      <c r="AA35" s="63"/>
      <c r="AB35" s="111"/>
    </row>
    <row r="36" spans="1:28" ht="24">
      <c r="A36" s="171"/>
      <c r="B36" s="42" t="s">
        <v>153</v>
      </c>
      <c r="C36" s="56"/>
      <c r="D36" s="56"/>
      <c r="E36" s="57"/>
      <c r="F36" s="51"/>
      <c r="G36" s="51"/>
      <c r="H36" s="61"/>
      <c r="I36" s="61"/>
      <c r="J36" s="61"/>
      <c r="K36" s="184"/>
      <c r="L36" s="66"/>
      <c r="M36" s="66"/>
      <c r="N36" s="66"/>
      <c r="O36" s="66"/>
      <c r="P36" s="66"/>
      <c r="Q36" s="66"/>
      <c r="R36" s="73"/>
      <c r="S36" s="66"/>
      <c r="T36" s="73"/>
      <c r="U36" s="186">
        <v>1814718</v>
      </c>
      <c r="V36" s="176">
        <v>904</v>
      </c>
      <c r="W36" s="63"/>
      <c r="X36" s="111"/>
      <c r="Y36" s="63"/>
      <c r="Z36" s="111"/>
      <c r="AA36" s="63"/>
      <c r="AB36" s="111"/>
    </row>
    <row r="37" spans="1:28" ht="37.5" customHeight="1">
      <c r="A37" s="171"/>
      <c r="B37" s="165" t="s">
        <v>152</v>
      </c>
      <c r="C37" s="16"/>
      <c r="D37" s="16"/>
      <c r="E37" s="25"/>
      <c r="F37" s="116">
        <f t="shared" si="8"/>
        <v>0</v>
      </c>
      <c r="G37" s="116">
        <f t="shared" si="9"/>
        <v>0</v>
      </c>
      <c r="H37" s="114"/>
      <c r="I37" s="114"/>
      <c r="J37" s="114"/>
      <c r="K37" s="131"/>
      <c r="L37" s="151">
        <f t="shared" si="21"/>
        <v>16427.64</v>
      </c>
      <c r="M37" s="65">
        <f t="shared" si="14"/>
        <v>16427.64</v>
      </c>
      <c r="N37" s="65">
        <v>0</v>
      </c>
      <c r="O37" s="65"/>
      <c r="P37" s="65"/>
      <c r="Q37" s="151">
        <f t="shared" si="23"/>
        <v>0</v>
      </c>
      <c r="R37" s="177">
        <v>18064</v>
      </c>
      <c r="S37" s="151">
        <f t="shared" si="22"/>
        <v>0</v>
      </c>
      <c r="T37" s="185">
        <v>18064</v>
      </c>
      <c r="U37" s="151"/>
      <c r="V37" s="169">
        <v>907</v>
      </c>
      <c r="W37" s="63"/>
      <c r="X37" s="105">
        <v>16427.64</v>
      </c>
      <c r="Y37" s="63"/>
      <c r="Z37" s="105"/>
      <c r="AA37" s="63"/>
      <c r="AB37" s="105"/>
    </row>
    <row r="38" spans="1:28" ht="24">
      <c r="A38" s="171"/>
      <c r="B38" s="165" t="s">
        <v>32</v>
      </c>
      <c r="C38" s="16"/>
      <c r="D38" s="16"/>
      <c r="E38" s="25"/>
      <c r="F38" s="116">
        <f t="shared" si="8"/>
        <v>0</v>
      </c>
      <c r="G38" s="116">
        <f t="shared" si="9"/>
        <v>0</v>
      </c>
      <c r="H38" s="114"/>
      <c r="I38" s="114"/>
      <c r="J38" s="114"/>
      <c r="K38" s="131"/>
      <c r="L38" s="151">
        <f t="shared" si="21"/>
        <v>0</v>
      </c>
      <c r="M38" s="65">
        <f t="shared" si="14"/>
        <v>0</v>
      </c>
      <c r="N38" s="65">
        <v>0</v>
      </c>
      <c r="O38" s="65"/>
      <c r="P38" s="65"/>
      <c r="Q38" s="151">
        <f t="shared" si="23"/>
        <v>0</v>
      </c>
      <c r="R38" s="151"/>
      <c r="S38" s="151">
        <f t="shared" si="22"/>
        <v>0</v>
      </c>
      <c r="T38" s="151"/>
      <c r="U38" s="151"/>
      <c r="V38" s="169"/>
      <c r="W38" s="63"/>
      <c r="X38" s="105"/>
      <c r="Y38" s="63"/>
      <c r="Z38" s="105"/>
      <c r="AA38" s="63"/>
      <c r="AB38" s="105"/>
    </row>
    <row r="39" spans="1:28" ht="24">
      <c r="A39" s="171"/>
      <c r="B39" s="165" t="s">
        <v>33</v>
      </c>
      <c r="C39" s="16"/>
      <c r="D39" s="16"/>
      <c r="E39" s="25"/>
      <c r="F39" s="116">
        <f t="shared" si="8"/>
        <v>0</v>
      </c>
      <c r="G39" s="116">
        <f t="shared" si="9"/>
        <v>0</v>
      </c>
      <c r="H39" s="114"/>
      <c r="I39" s="114"/>
      <c r="J39" s="114"/>
      <c r="K39" s="131"/>
      <c r="L39" s="151">
        <f t="shared" si="21"/>
        <v>0</v>
      </c>
      <c r="M39" s="65">
        <f t="shared" si="14"/>
        <v>0</v>
      </c>
      <c r="N39" s="65">
        <v>0</v>
      </c>
      <c r="O39" s="65"/>
      <c r="P39" s="65"/>
      <c r="Q39" s="151">
        <f t="shared" si="23"/>
        <v>0</v>
      </c>
      <c r="R39" s="151"/>
      <c r="S39" s="151">
        <f t="shared" si="22"/>
        <v>0</v>
      </c>
      <c r="T39" s="151"/>
      <c r="U39" s="151"/>
      <c r="V39" s="169"/>
      <c r="W39" s="63"/>
      <c r="X39" s="105"/>
      <c r="Y39" s="63"/>
      <c r="Z39" s="105"/>
      <c r="AA39" s="63"/>
      <c r="AB39" s="105"/>
    </row>
    <row r="40" spans="1:28" ht="24">
      <c r="A40" s="171"/>
      <c r="B40" s="165" t="s">
        <v>50</v>
      </c>
      <c r="C40" s="16">
        <v>79</v>
      </c>
      <c r="D40" s="16"/>
      <c r="E40" s="25">
        <v>79000</v>
      </c>
      <c r="F40" s="116"/>
      <c r="G40" s="116"/>
      <c r="H40" s="114"/>
      <c r="I40" s="114"/>
      <c r="J40" s="114"/>
      <c r="K40" s="131"/>
      <c r="L40" s="151">
        <f t="shared" si="21"/>
        <v>0</v>
      </c>
      <c r="M40" s="65">
        <f t="shared" si="14"/>
        <v>0</v>
      </c>
      <c r="N40" s="65">
        <v>0</v>
      </c>
      <c r="O40" s="65"/>
      <c r="P40" s="65"/>
      <c r="Q40" s="151">
        <f t="shared" si="23"/>
        <v>0</v>
      </c>
      <c r="R40" s="151"/>
      <c r="S40" s="151">
        <f t="shared" si="22"/>
        <v>0</v>
      </c>
      <c r="T40" s="151"/>
      <c r="U40" s="151"/>
      <c r="V40" s="169"/>
      <c r="W40" s="63"/>
      <c r="X40" s="105"/>
      <c r="Y40" s="63"/>
      <c r="Z40" s="105"/>
      <c r="AA40" s="63"/>
      <c r="AB40" s="105"/>
    </row>
    <row r="41" spans="1:28" ht="16.899999999999999" customHeight="1">
      <c r="A41" s="171" t="s">
        <v>43</v>
      </c>
      <c r="B41" s="165" t="s">
        <v>3</v>
      </c>
      <c r="C41" s="140">
        <f>C42+C54+C55+C56+C57</f>
        <v>726424</v>
      </c>
      <c r="D41" s="140">
        <f>D42+D54+D55+D56+D57</f>
        <v>0</v>
      </c>
      <c r="E41" s="140">
        <f>E42+E54+E55+E56+E57</f>
        <v>726423994</v>
      </c>
      <c r="F41" s="140">
        <f>F42+F54+F55+F56+F57</f>
        <v>726423.99399999995</v>
      </c>
      <c r="G41" s="140">
        <f>G42+G54+G55+G56+G57</f>
        <v>-6.0000000003128662E-3</v>
      </c>
      <c r="H41" s="140">
        <f t="shared" ref="H41:N41" si="24">H42+H54+H55+H56+H57+H58</f>
        <v>608092</v>
      </c>
      <c r="I41" s="140">
        <f t="shared" si="24"/>
        <v>774941</v>
      </c>
      <c r="J41" s="140">
        <f t="shared" si="24"/>
        <v>696541</v>
      </c>
      <c r="K41" s="141">
        <f t="shared" si="24"/>
        <v>545714</v>
      </c>
      <c r="L41" s="138">
        <f t="shared" si="24"/>
        <v>813453800</v>
      </c>
      <c r="M41" s="138">
        <f t="shared" si="24"/>
        <v>812908086</v>
      </c>
      <c r="N41" s="138">
        <f t="shared" si="24"/>
        <v>417933</v>
      </c>
      <c r="O41" s="138"/>
      <c r="P41" s="138"/>
      <c r="Q41" s="138">
        <f>Q42+Q54+Q55+Q56+Q57+Q58</f>
        <v>853866400</v>
      </c>
      <c r="R41" s="138">
        <f>R42+R54+R55+R56+R57+R58</f>
        <v>966904000</v>
      </c>
      <c r="S41" s="138">
        <f t="shared" ref="S41:U41" si="25">S42+S54+S55+S56+S57+S58</f>
        <v>831231000</v>
      </c>
      <c r="T41" s="138">
        <f t="shared" si="25"/>
        <v>1018980000</v>
      </c>
      <c r="U41" s="138">
        <f t="shared" si="25"/>
        <v>1104489000</v>
      </c>
      <c r="V41" s="169"/>
      <c r="W41" s="112">
        <f t="shared" ref="W41:AB41" si="26">W42+W54+W55+W56+W57+W58</f>
        <v>3473800</v>
      </c>
      <c r="X41" s="112">
        <f t="shared" si="26"/>
        <v>809980000</v>
      </c>
      <c r="Y41" s="178">
        <f t="shared" si="26"/>
        <v>5078400</v>
      </c>
      <c r="Z41" s="112">
        <f t="shared" si="26"/>
        <v>848788000</v>
      </c>
      <c r="AA41" s="178">
        <f t="shared" si="26"/>
        <v>5342000</v>
      </c>
      <c r="AB41" s="112">
        <f t="shared" si="26"/>
        <v>825889000</v>
      </c>
    </row>
    <row r="42" spans="1:28" ht="24.6" customHeight="1">
      <c r="A42" s="171" t="s">
        <v>44</v>
      </c>
      <c r="B42" s="165" t="s">
        <v>4</v>
      </c>
      <c r="C42" s="140">
        <f>SUM(C43:C53)</f>
        <v>691386</v>
      </c>
      <c r="D42" s="140">
        <f>SUM(D43:D53)</f>
        <v>0</v>
      </c>
      <c r="E42" s="143">
        <f>SUM(E43:E53)</f>
        <v>691386000</v>
      </c>
      <c r="F42" s="116">
        <f t="shared" si="8"/>
        <v>691386</v>
      </c>
      <c r="G42" s="116">
        <f>F42-C42</f>
        <v>0</v>
      </c>
      <c r="H42" s="140">
        <f t="shared" ref="H42:Q42" si="27">SUM(H43:H53)</f>
        <v>576319</v>
      </c>
      <c r="I42" s="140">
        <f t="shared" si="27"/>
        <v>739626</v>
      </c>
      <c r="J42" s="140">
        <f t="shared" si="27"/>
        <v>662922</v>
      </c>
      <c r="K42" s="141">
        <f t="shared" si="27"/>
        <v>510529</v>
      </c>
      <c r="L42" s="138">
        <f t="shared" si="27"/>
        <v>766653000</v>
      </c>
      <c r="M42" s="181">
        <f t="shared" si="27"/>
        <v>766142471</v>
      </c>
      <c r="N42" s="181">
        <f t="shared" si="27"/>
        <v>383394</v>
      </c>
      <c r="O42" s="181"/>
      <c r="P42" s="181"/>
      <c r="Q42" s="138">
        <f t="shared" si="27"/>
        <v>800982000</v>
      </c>
      <c r="R42" s="138">
        <f>SUM(R43:R53)</f>
        <v>919004000</v>
      </c>
      <c r="S42" s="138">
        <f t="shared" ref="S42:U42" si="28">SUM(S43:S53)</f>
        <v>777348000</v>
      </c>
      <c r="T42" s="138">
        <f t="shared" si="28"/>
        <v>936559000</v>
      </c>
      <c r="U42" s="138">
        <f t="shared" si="28"/>
        <v>1021364000</v>
      </c>
      <c r="V42" s="170"/>
      <c r="W42" s="178">
        <f t="shared" ref="W42:AB42" si="29">SUM(W43:W53)</f>
        <v>0</v>
      </c>
      <c r="X42" s="112">
        <f t="shared" si="29"/>
        <v>766653000</v>
      </c>
      <c r="Y42" s="178">
        <f t="shared" si="29"/>
        <v>0</v>
      </c>
      <c r="Z42" s="112">
        <f t="shared" si="29"/>
        <v>800982000</v>
      </c>
      <c r="AA42" s="178">
        <f t="shared" si="29"/>
        <v>0</v>
      </c>
      <c r="AB42" s="112">
        <f t="shared" si="29"/>
        <v>777348000</v>
      </c>
    </row>
    <row r="43" spans="1:28" ht="50.45" customHeight="1">
      <c r="A43" s="171"/>
      <c r="B43" s="165" t="s">
        <v>5</v>
      </c>
      <c r="C43" s="122">
        <v>386036</v>
      </c>
      <c r="D43" s="123"/>
      <c r="E43" s="124">
        <v>386036000</v>
      </c>
      <c r="F43" s="116">
        <f t="shared" si="8"/>
        <v>386036</v>
      </c>
      <c r="G43" s="116">
        <f t="shared" si="9"/>
        <v>0</v>
      </c>
      <c r="H43" s="114">
        <v>334797</v>
      </c>
      <c r="I43" s="114">
        <v>430728</v>
      </c>
      <c r="J43" s="114">
        <v>385292</v>
      </c>
      <c r="K43" s="131">
        <v>300084</v>
      </c>
      <c r="L43" s="151">
        <f t="shared" ref="L43:L61" si="30">W43+X43</f>
        <v>427215000</v>
      </c>
      <c r="M43" s="65">
        <f t="shared" ref="M43:M61" si="31">L43-K43</f>
        <v>426914916</v>
      </c>
      <c r="N43" s="65">
        <v>224097</v>
      </c>
      <c r="O43" s="65"/>
      <c r="P43" s="65"/>
      <c r="Q43" s="151">
        <f t="shared" ref="Q43:Q61" si="32">Y43+Z43</f>
        <v>449375000</v>
      </c>
      <c r="R43" s="185">
        <v>536533000</v>
      </c>
      <c r="S43" s="151">
        <f>AA43+AB43</f>
        <v>410769000</v>
      </c>
      <c r="T43" s="185">
        <v>536543000</v>
      </c>
      <c r="U43" s="185">
        <v>591491000</v>
      </c>
      <c r="V43" s="169">
        <v>906</v>
      </c>
      <c r="W43" s="63"/>
      <c r="X43" s="153">
        <v>427215000</v>
      </c>
      <c r="Y43" s="63"/>
      <c r="Z43" s="111">
        <v>449375000</v>
      </c>
      <c r="AA43" s="63"/>
      <c r="AB43" s="111">
        <v>410769000</v>
      </c>
    </row>
    <row r="44" spans="1:28" ht="28.15" customHeight="1">
      <c r="A44" s="171"/>
      <c r="B44" s="165" t="s">
        <v>6</v>
      </c>
      <c r="C44" s="122">
        <v>295813</v>
      </c>
      <c r="D44" s="123"/>
      <c r="E44" s="124">
        <v>295813000</v>
      </c>
      <c r="F44" s="116">
        <f t="shared" si="8"/>
        <v>295813</v>
      </c>
      <c r="G44" s="116">
        <f t="shared" si="9"/>
        <v>0</v>
      </c>
      <c r="H44" s="114">
        <v>231806</v>
      </c>
      <c r="I44" s="114">
        <v>299172</v>
      </c>
      <c r="J44" s="114">
        <v>267660</v>
      </c>
      <c r="K44" s="131">
        <v>199795</v>
      </c>
      <c r="L44" s="151">
        <f t="shared" si="30"/>
        <v>326317000</v>
      </c>
      <c r="M44" s="65">
        <f t="shared" si="31"/>
        <v>326117205</v>
      </c>
      <c r="N44" s="65">
        <v>148579</v>
      </c>
      <c r="O44" s="65"/>
      <c r="P44" s="65"/>
      <c r="Q44" s="151">
        <f t="shared" si="32"/>
        <v>339524000</v>
      </c>
      <c r="R44" s="185">
        <v>362453000</v>
      </c>
      <c r="S44" s="151">
        <f t="shared" ref="S44:S63" si="33">AA44+AB44</f>
        <v>354418000</v>
      </c>
      <c r="T44" s="185">
        <v>379629000</v>
      </c>
      <c r="U44" s="185">
        <v>409103000</v>
      </c>
      <c r="V44" s="169">
        <v>906</v>
      </c>
      <c r="W44" s="63"/>
      <c r="X44" s="153">
        <v>326317000</v>
      </c>
      <c r="Y44" s="63"/>
      <c r="Z44" s="111">
        <v>339524000</v>
      </c>
      <c r="AA44" s="63"/>
      <c r="AB44" s="111">
        <v>354418000</v>
      </c>
    </row>
    <row r="45" spans="1:28" ht="25.15" customHeight="1">
      <c r="A45" s="171"/>
      <c r="B45" s="165" t="s">
        <v>7</v>
      </c>
      <c r="C45" s="122">
        <v>6199</v>
      </c>
      <c r="D45" s="123"/>
      <c r="E45" s="124">
        <v>6199000</v>
      </c>
      <c r="F45" s="116">
        <f t="shared" si="8"/>
        <v>6199</v>
      </c>
      <c r="G45" s="116">
        <f t="shared" si="9"/>
        <v>0</v>
      </c>
      <c r="H45" s="114">
        <v>6291</v>
      </c>
      <c r="I45" s="114">
        <v>6291</v>
      </c>
      <c r="J45" s="114">
        <v>6463</v>
      </c>
      <c r="K45" s="131">
        <v>5889</v>
      </c>
      <c r="L45" s="151">
        <f t="shared" si="30"/>
        <v>6515000</v>
      </c>
      <c r="M45" s="65">
        <f t="shared" si="31"/>
        <v>6509111</v>
      </c>
      <c r="N45" s="65">
        <v>5889</v>
      </c>
      <c r="O45" s="65"/>
      <c r="P45" s="65"/>
      <c r="Q45" s="151">
        <f t="shared" si="32"/>
        <v>6515000</v>
      </c>
      <c r="R45" s="185">
        <v>7478000</v>
      </c>
      <c r="S45" s="151">
        <f t="shared" si="33"/>
        <v>6515000</v>
      </c>
      <c r="T45" s="185">
        <v>7478000</v>
      </c>
      <c r="U45" s="185">
        <v>7478000</v>
      </c>
      <c r="V45" s="169">
        <v>906</v>
      </c>
      <c r="W45" s="63"/>
      <c r="X45" s="111">
        <v>6515000</v>
      </c>
      <c r="Y45" s="63"/>
      <c r="Z45" s="111">
        <v>6515000</v>
      </c>
      <c r="AA45" s="63"/>
      <c r="AB45" s="111">
        <v>6515000</v>
      </c>
    </row>
    <row r="46" spans="1:28" ht="34.5" customHeight="1">
      <c r="A46" s="171"/>
      <c r="B46" s="165" t="s">
        <v>8</v>
      </c>
      <c r="C46" s="122">
        <v>2</v>
      </c>
      <c r="D46" s="123"/>
      <c r="E46" s="124">
        <v>2000</v>
      </c>
      <c r="F46" s="116">
        <f t="shared" si="8"/>
        <v>2</v>
      </c>
      <c r="G46" s="116">
        <f t="shared" si="9"/>
        <v>0</v>
      </c>
      <c r="H46" s="114">
        <v>2</v>
      </c>
      <c r="I46" s="114">
        <v>2</v>
      </c>
      <c r="J46" s="114">
        <v>2</v>
      </c>
      <c r="K46" s="131">
        <v>2</v>
      </c>
      <c r="L46" s="151">
        <f t="shared" si="30"/>
        <v>2000</v>
      </c>
      <c r="M46" s="65">
        <f t="shared" si="31"/>
        <v>1998</v>
      </c>
      <c r="N46" s="65">
        <v>2</v>
      </c>
      <c r="O46" s="65"/>
      <c r="P46" s="65"/>
      <c r="Q46" s="151">
        <f t="shared" si="32"/>
        <v>2000</v>
      </c>
      <c r="R46" s="185">
        <v>2000</v>
      </c>
      <c r="S46" s="151">
        <f t="shared" si="33"/>
        <v>2000</v>
      </c>
      <c r="T46" s="185">
        <v>2000</v>
      </c>
      <c r="U46" s="185">
        <v>2000</v>
      </c>
      <c r="V46" s="169">
        <v>902</v>
      </c>
      <c r="W46" s="63"/>
      <c r="X46" s="111">
        <v>2000</v>
      </c>
      <c r="Y46" s="63"/>
      <c r="Z46" s="111">
        <v>2000</v>
      </c>
      <c r="AA46" s="63"/>
      <c r="AB46" s="111">
        <v>2000</v>
      </c>
    </row>
    <row r="47" spans="1:28" ht="27.6" customHeight="1">
      <c r="A47" s="171"/>
      <c r="B47" s="165" t="s">
        <v>9</v>
      </c>
      <c r="C47" s="122">
        <v>558</v>
      </c>
      <c r="D47" s="123"/>
      <c r="E47" s="124">
        <v>558000</v>
      </c>
      <c r="F47" s="116">
        <f t="shared" si="8"/>
        <v>558</v>
      </c>
      <c r="G47" s="116">
        <f t="shared" si="9"/>
        <v>0</v>
      </c>
      <c r="H47" s="114">
        <v>558</v>
      </c>
      <c r="I47" s="114">
        <v>558</v>
      </c>
      <c r="J47" s="114">
        <v>579</v>
      </c>
      <c r="K47" s="131">
        <v>570</v>
      </c>
      <c r="L47" s="151">
        <f t="shared" si="30"/>
        <v>641000</v>
      </c>
      <c r="M47" s="65">
        <f t="shared" si="31"/>
        <v>640430</v>
      </c>
      <c r="N47" s="65">
        <v>570</v>
      </c>
      <c r="O47" s="65"/>
      <c r="P47" s="65"/>
      <c r="Q47" s="151">
        <f t="shared" si="32"/>
        <v>641000</v>
      </c>
      <c r="R47" s="185">
        <v>754000</v>
      </c>
      <c r="S47" s="151">
        <f t="shared" si="33"/>
        <v>641000</v>
      </c>
      <c r="T47" s="185">
        <v>754000</v>
      </c>
      <c r="U47" s="185">
        <v>754000</v>
      </c>
      <c r="V47" s="169">
        <v>902</v>
      </c>
      <c r="W47" s="63"/>
      <c r="X47" s="111">
        <v>641000</v>
      </c>
      <c r="Y47" s="63"/>
      <c r="Z47" s="111">
        <v>641000</v>
      </c>
      <c r="AA47" s="111"/>
      <c r="AB47" s="111">
        <v>641000</v>
      </c>
    </row>
    <row r="48" spans="1:28" ht="48" customHeight="1">
      <c r="A48" s="171"/>
      <c r="B48" s="42" t="s">
        <v>143</v>
      </c>
      <c r="C48" s="122"/>
      <c r="D48" s="123"/>
      <c r="E48" s="124"/>
      <c r="F48" s="116"/>
      <c r="G48" s="116"/>
      <c r="H48" s="114"/>
      <c r="I48" s="114"/>
      <c r="J48" s="114"/>
      <c r="K48" s="131"/>
      <c r="L48" s="151"/>
      <c r="M48" s="65"/>
      <c r="N48" s="65"/>
      <c r="O48" s="65"/>
      <c r="P48" s="65"/>
      <c r="Q48" s="151"/>
      <c r="R48" s="185">
        <v>37000</v>
      </c>
      <c r="S48" s="151"/>
      <c r="T48" s="185">
        <v>37000</v>
      </c>
      <c r="U48" s="185">
        <v>37000</v>
      </c>
      <c r="V48" s="176">
        <v>905</v>
      </c>
      <c r="W48" s="63"/>
      <c r="X48" s="111"/>
      <c r="Y48" s="63"/>
      <c r="Z48" s="111"/>
      <c r="AA48" s="111"/>
      <c r="AB48" s="111"/>
    </row>
    <row r="49" spans="1:28" ht="27.6" customHeight="1">
      <c r="A49" s="171"/>
      <c r="B49" s="52" t="s">
        <v>142</v>
      </c>
      <c r="C49" s="122"/>
      <c r="D49" s="123"/>
      <c r="E49" s="124"/>
      <c r="F49" s="116"/>
      <c r="G49" s="116"/>
      <c r="H49" s="114"/>
      <c r="I49" s="114"/>
      <c r="J49" s="114"/>
      <c r="K49" s="131"/>
      <c r="L49" s="151"/>
      <c r="M49" s="65"/>
      <c r="N49" s="65"/>
      <c r="O49" s="65"/>
      <c r="P49" s="65"/>
      <c r="Q49" s="151"/>
      <c r="R49" s="185">
        <v>1477000</v>
      </c>
      <c r="S49" s="151"/>
      <c r="T49" s="185">
        <v>1495000</v>
      </c>
      <c r="U49" s="185">
        <v>1495000</v>
      </c>
      <c r="V49" s="176">
        <v>902</v>
      </c>
      <c r="W49" s="63"/>
      <c r="X49" s="111"/>
      <c r="Y49" s="63"/>
      <c r="Z49" s="111"/>
      <c r="AA49" s="111"/>
      <c r="AB49" s="111"/>
    </row>
    <row r="50" spans="1:28" ht="24" customHeight="1">
      <c r="A50" s="171"/>
      <c r="B50" s="165" t="s">
        <v>10</v>
      </c>
      <c r="C50" s="122">
        <v>1032</v>
      </c>
      <c r="D50" s="123"/>
      <c r="E50" s="124">
        <v>1032000</v>
      </c>
      <c r="F50" s="116">
        <f t="shared" si="8"/>
        <v>1032</v>
      </c>
      <c r="G50" s="116">
        <f t="shared" si="9"/>
        <v>0</v>
      </c>
      <c r="H50" s="114">
        <v>1037</v>
      </c>
      <c r="I50" s="114">
        <v>1037</v>
      </c>
      <c r="J50" s="114">
        <v>1076</v>
      </c>
      <c r="K50" s="131">
        <v>1054</v>
      </c>
      <c r="L50" s="151">
        <f t="shared" si="30"/>
        <v>1186000</v>
      </c>
      <c r="M50" s="65">
        <f t="shared" si="31"/>
        <v>1184946</v>
      </c>
      <c r="N50" s="65">
        <v>1054</v>
      </c>
      <c r="O50" s="65"/>
      <c r="P50" s="65"/>
      <c r="Q50" s="151">
        <f t="shared" si="32"/>
        <v>1186000</v>
      </c>
      <c r="R50" s="151"/>
      <c r="S50" s="151">
        <f t="shared" si="33"/>
        <v>1186000</v>
      </c>
      <c r="T50" s="151"/>
      <c r="U50" s="151"/>
      <c r="V50" s="169">
        <v>902</v>
      </c>
      <c r="W50" s="63"/>
      <c r="X50" s="111">
        <v>1186000</v>
      </c>
      <c r="Y50" s="63"/>
      <c r="Z50" s="111">
        <v>1186000</v>
      </c>
      <c r="AA50" s="63"/>
      <c r="AB50" s="111">
        <v>1186000</v>
      </c>
    </row>
    <row r="51" spans="1:28" ht="34.5" customHeight="1">
      <c r="A51" s="171"/>
      <c r="B51" s="165" t="s">
        <v>11</v>
      </c>
      <c r="C51" s="122">
        <v>542</v>
      </c>
      <c r="D51" s="123"/>
      <c r="E51" s="124">
        <v>542000</v>
      </c>
      <c r="F51" s="116">
        <f t="shared" si="8"/>
        <v>542</v>
      </c>
      <c r="G51" s="116">
        <f t="shared" si="9"/>
        <v>0</v>
      </c>
      <c r="H51" s="114">
        <v>542</v>
      </c>
      <c r="I51" s="114">
        <v>542</v>
      </c>
      <c r="J51" s="114">
        <v>564</v>
      </c>
      <c r="K51" s="131">
        <v>554</v>
      </c>
      <c r="L51" s="151">
        <f t="shared" si="30"/>
        <v>623000</v>
      </c>
      <c r="M51" s="65">
        <f t="shared" si="31"/>
        <v>622446</v>
      </c>
      <c r="N51" s="65">
        <v>554</v>
      </c>
      <c r="O51" s="65"/>
      <c r="P51" s="65"/>
      <c r="Q51" s="151">
        <f t="shared" si="32"/>
        <v>623000</v>
      </c>
      <c r="R51" s="185">
        <v>733000</v>
      </c>
      <c r="S51" s="151">
        <f t="shared" si="33"/>
        <v>623000</v>
      </c>
      <c r="T51" s="185">
        <v>733000</v>
      </c>
      <c r="U51" s="185">
        <v>733000</v>
      </c>
      <c r="V51" s="169">
        <v>902</v>
      </c>
      <c r="W51" s="63"/>
      <c r="X51" s="111">
        <v>623000</v>
      </c>
      <c r="Y51" s="63"/>
      <c r="Z51" s="111">
        <v>623000</v>
      </c>
      <c r="AA51" s="63"/>
      <c r="AB51" s="111">
        <v>623000</v>
      </c>
    </row>
    <row r="52" spans="1:28" ht="42" customHeight="1">
      <c r="A52" s="171"/>
      <c r="B52" s="165" t="s">
        <v>12</v>
      </c>
      <c r="C52" s="122">
        <v>762</v>
      </c>
      <c r="D52" s="123"/>
      <c r="E52" s="124">
        <v>762000</v>
      </c>
      <c r="F52" s="116">
        <f t="shared" si="8"/>
        <v>762</v>
      </c>
      <c r="G52" s="116">
        <f t="shared" si="9"/>
        <v>0</v>
      </c>
      <c r="H52" s="114">
        <v>778</v>
      </c>
      <c r="I52" s="114">
        <v>778</v>
      </c>
      <c r="J52" s="114">
        <v>778</v>
      </c>
      <c r="K52" s="131">
        <v>795</v>
      </c>
      <c r="L52" s="151">
        <f t="shared" si="30"/>
        <v>1160000</v>
      </c>
      <c r="M52" s="65">
        <f t="shared" si="31"/>
        <v>1159205</v>
      </c>
      <c r="N52" s="65">
        <v>795</v>
      </c>
      <c r="O52" s="65"/>
      <c r="P52" s="65"/>
      <c r="Q52" s="151">
        <f t="shared" si="32"/>
        <v>1160000</v>
      </c>
      <c r="R52" s="185">
        <v>1373000</v>
      </c>
      <c r="S52" s="151">
        <f t="shared" si="33"/>
        <v>1160000</v>
      </c>
      <c r="T52" s="185">
        <v>1373000</v>
      </c>
      <c r="U52" s="185">
        <v>1373000</v>
      </c>
      <c r="V52" s="169">
        <v>905</v>
      </c>
      <c r="W52" s="63"/>
      <c r="X52" s="111">
        <v>1160000</v>
      </c>
      <c r="Y52" s="63"/>
      <c r="Z52" s="111">
        <v>1160000</v>
      </c>
      <c r="AA52" s="63"/>
      <c r="AB52" s="111">
        <v>1160000</v>
      </c>
    </row>
    <row r="53" spans="1:28" ht="27.6" customHeight="1">
      <c r="A53" s="171" t="s">
        <v>136</v>
      </c>
      <c r="B53" s="165" t="s">
        <v>124</v>
      </c>
      <c r="C53" s="122">
        <v>442</v>
      </c>
      <c r="D53" s="123"/>
      <c r="E53" s="124">
        <v>442000</v>
      </c>
      <c r="F53" s="116">
        <f t="shared" si="8"/>
        <v>442</v>
      </c>
      <c r="G53" s="116">
        <f t="shared" si="9"/>
        <v>0</v>
      </c>
      <c r="H53" s="114">
        <v>508</v>
      </c>
      <c r="I53" s="114">
        <v>518</v>
      </c>
      <c r="J53" s="114">
        <v>508</v>
      </c>
      <c r="K53" s="131">
        <v>1786</v>
      </c>
      <c r="L53" s="151">
        <f t="shared" si="30"/>
        <v>2994000</v>
      </c>
      <c r="M53" s="65">
        <f t="shared" si="31"/>
        <v>2992214</v>
      </c>
      <c r="N53" s="65">
        <v>1854</v>
      </c>
      <c r="O53" s="65"/>
      <c r="P53" s="65"/>
      <c r="Q53" s="151">
        <f t="shared" si="32"/>
        <v>1956000</v>
      </c>
      <c r="R53" s="185">
        <v>8164000</v>
      </c>
      <c r="S53" s="151">
        <f t="shared" si="33"/>
        <v>2034000</v>
      </c>
      <c r="T53" s="185">
        <v>8515000</v>
      </c>
      <c r="U53" s="185">
        <v>8898000</v>
      </c>
      <c r="V53" s="169">
        <v>905</v>
      </c>
      <c r="W53" s="63"/>
      <c r="X53" s="153">
        <f>1883000+105000+1006000</f>
        <v>2994000</v>
      </c>
      <c r="Y53" s="63"/>
      <c r="Z53" s="153">
        <v>1956000</v>
      </c>
      <c r="AA53" s="63"/>
      <c r="AB53" s="153">
        <v>2034000</v>
      </c>
    </row>
    <row r="54" spans="1:28" ht="31.9" customHeight="1">
      <c r="A54" s="171" t="s">
        <v>45</v>
      </c>
      <c r="B54" s="165" t="s">
        <v>13</v>
      </c>
      <c r="C54" s="122">
        <v>25623</v>
      </c>
      <c r="D54" s="123"/>
      <c r="E54" s="124">
        <v>25623000</v>
      </c>
      <c r="F54" s="116">
        <f t="shared" si="8"/>
        <v>25623</v>
      </c>
      <c r="G54" s="116">
        <f t="shared" si="9"/>
        <v>0</v>
      </c>
      <c r="H54" s="114">
        <v>24886</v>
      </c>
      <c r="I54" s="114">
        <v>24886</v>
      </c>
      <c r="J54" s="114">
        <v>25882</v>
      </c>
      <c r="K54" s="131">
        <v>27714</v>
      </c>
      <c r="L54" s="151">
        <f t="shared" si="30"/>
        <v>28143000</v>
      </c>
      <c r="M54" s="65">
        <f t="shared" si="31"/>
        <v>28115286</v>
      </c>
      <c r="N54" s="65">
        <v>27714</v>
      </c>
      <c r="O54" s="65"/>
      <c r="P54" s="65"/>
      <c r="Q54" s="151">
        <f t="shared" si="32"/>
        <v>28143000</v>
      </c>
      <c r="R54" s="185">
        <v>31556000</v>
      </c>
      <c r="S54" s="151">
        <f t="shared" si="33"/>
        <v>28143000</v>
      </c>
      <c r="T54" s="185">
        <v>31556000</v>
      </c>
      <c r="U54" s="185">
        <v>31556000</v>
      </c>
      <c r="V54" s="169">
        <v>906</v>
      </c>
      <c r="W54" s="63"/>
      <c r="X54" s="105">
        <v>28143000</v>
      </c>
      <c r="Y54" s="63"/>
      <c r="Z54" s="105">
        <v>28143000</v>
      </c>
      <c r="AA54" s="63"/>
      <c r="AB54" s="105">
        <v>28143000</v>
      </c>
    </row>
    <row r="55" spans="1:28" ht="36.6" customHeight="1">
      <c r="A55" s="171" t="s">
        <v>46</v>
      </c>
      <c r="B55" s="165" t="s">
        <v>14</v>
      </c>
      <c r="C55" s="122">
        <v>3449</v>
      </c>
      <c r="D55" s="123"/>
      <c r="E55" s="124">
        <v>3449000</v>
      </c>
      <c r="F55" s="116">
        <f t="shared" si="8"/>
        <v>3449</v>
      </c>
      <c r="G55" s="116">
        <f t="shared" si="9"/>
        <v>0</v>
      </c>
      <c r="H55" s="114">
        <v>3673</v>
      </c>
      <c r="I55" s="114">
        <v>3673</v>
      </c>
      <c r="J55" s="114">
        <v>3673</v>
      </c>
      <c r="K55" s="131">
        <v>2329</v>
      </c>
      <c r="L55" s="151">
        <f t="shared" si="30"/>
        <v>5387000</v>
      </c>
      <c r="M55" s="65">
        <f t="shared" si="31"/>
        <v>5384671</v>
      </c>
      <c r="N55" s="65">
        <v>2329</v>
      </c>
      <c r="O55" s="65"/>
      <c r="P55" s="65"/>
      <c r="Q55" s="151">
        <f t="shared" si="32"/>
        <v>5387000</v>
      </c>
      <c r="R55" s="185">
        <v>4048000</v>
      </c>
      <c r="S55" s="151">
        <f t="shared" si="33"/>
        <v>5387000</v>
      </c>
      <c r="T55" s="185">
        <v>4048000</v>
      </c>
      <c r="U55" s="185">
        <v>4048000</v>
      </c>
      <c r="V55" s="169">
        <v>906</v>
      </c>
      <c r="W55" s="63"/>
      <c r="X55" s="111">
        <v>5387000</v>
      </c>
      <c r="Y55" s="63"/>
      <c r="Z55" s="111">
        <v>5387000</v>
      </c>
      <c r="AA55" s="63"/>
      <c r="AB55" s="111">
        <v>5387000</v>
      </c>
    </row>
    <row r="56" spans="1:28" ht="38.450000000000003" customHeight="1">
      <c r="A56" s="171" t="s">
        <v>47</v>
      </c>
      <c r="B56" s="165" t="s">
        <v>15</v>
      </c>
      <c r="C56" s="122">
        <v>5821</v>
      </c>
      <c r="D56" s="123"/>
      <c r="E56" s="124">
        <v>5820994</v>
      </c>
      <c r="F56" s="116">
        <f t="shared" si="8"/>
        <v>5820.9939999999997</v>
      </c>
      <c r="G56" s="116">
        <f t="shared" si="9"/>
        <v>-6.0000000003128662E-3</v>
      </c>
      <c r="H56" s="114">
        <v>3104</v>
      </c>
      <c r="I56" s="114">
        <f>3104+2580</f>
        <v>5684</v>
      </c>
      <c r="J56" s="114">
        <v>3954</v>
      </c>
      <c r="K56" s="131">
        <v>5031</v>
      </c>
      <c r="L56" s="151">
        <f t="shared" si="30"/>
        <v>13169800</v>
      </c>
      <c r="M56" s="65">
        <f t="shared" si="31"/>
        <v>13164769</v>
      </c>
      <c r="N56" s="65">
        <v>4385</v>
      </c>
      <c r="O56" s="65"/>
      <c r="P56" s="65"/>
      <c r="Q56" s="151">
        <f t="shared" si="32"/>
        <v>19253400</v>
      </c>
      <c r="R56" s="185">
        <v>12204000</v>
      </c>
      <c r="S56" s="151">
        <f t="shared" si="33"/>
        <v>20252000</v>
      </c>
      <c r="T56" s="185">
        <v>46725000</v>
      </c>
      <c r="U56" s="185">
        <v>47429000</v>
      </c>
      <c r="V56" s="169">
        <v>904</v>
      </c>
      <c r="W56" s="63">
        <v>3473800</v>
      </c>
      <c r="X56" s="105">
        <v>9696000</v>
      </c>
      <c r="Y56" s="63">
        <v>5078400</v>
      </c>
      <c r="Z56" s="105">
        <v>14175000</v>
      </c>
      <c r="AA56" s="63">
        <v>5342000</v>
      </c>
      <c r="AB56" s="105">
        <v>14910000</v>
      </c>
    </row>
    <row r="57" spans="1:28" ht="23.45" customHeight="1">
      <c r="A57" s="171" t="s">
        <v>48</v>
      </c>
      <c r="B57" s="165" t="s">
        <v>16</v>
      </c>
      <c r="C57" s="122">
        <v>145</v>
      </c>
      <c r="D57" s="123"/>
      <c r="E57" s="124">
        <v>145000</v>
      </c>
      <c r="F57" s="116">
        <f t="shared" si="8"/>
        <v>145</v>
      </c>
      <c r="G57" s="116">
        <f t="shared" si="9"/>
        <v>0</v>
      </c>
      <c r="H57" s="114">
        <v>110</v>
      </c>
      <c r="I57" s="114">
        <v>110</v>
      </c>
      <c r="J57" s="114">
        <v>110</v>
      </c>
      <c r="K57" s="131">
        <v>111</v>
      </c>
      <c r="L57" s="151">
        <f t="shared" si="30"/>
        <v>101000</v>
      </c>
      <c r="M57" s="65">
        <f t="shared" si="31"/>
        <v>100889</v>
      </c>
      <c r="N57" s="65">
        <v>111</v>
      </c>
      <c r="O57" s="65"/>
      <c r="P57" s="65"/>
      <c r="Q57" s="151">
        <f t="shared" si="32"/>
        <v>101000</v>
      </c>
      <c r="R57" s="185">
        <v>92000</v>
      </c>
      <c r="S57" s="151">
        <f t="shared" si="33"/>
        <v>101000</v>
      </c>
      <c r="T57" s="185">
        <v>92000</v>
      </c>
      <c r="U57" s="185">
        <v>92000</v>
      </c>
      <c r="V57" s="169">
        <v>907</v>
      </c>
      <c r="W57" s="63"/>
      <c r="X57" s="111">
        <v>101000</v>
      </c>
      <c r="Y57" s="63"/>
      <c r="Z57" s="111">
        <v>101000</v>
      </c>
      <c r="AA57" s="63"/>
      <c r="AB57" s="111">
        <v>101000</v>
      </c>
    </row>
    <row r="58" spans="1:28" ht="24.75">
      <c r="A58" s="126" t="s">
        <v>65</v>
      </c>
      <c r="B58" s="127" t="s">
        <v>87</v>
      </c>
      <c r="C58" s="123"/>
      <c r="D58" s="123"/>
      <c r="E58" s="124"/>
      <c r="F58" s="116">
        <f t="shared" si="8"/>
        <v>0</v>
      </c>
      <c r="G58" s="116">
        <f t="shared" si="9"/>
        <v>0</v>
      </c>
      <c r="H58" s="114"/>
      <c r="I58" s="114">
        <v>962</v>
      </c>
      <c r="J58" s="114"/>
      <c r="K58" s="131">
        <v>0</v>
      </c>
      <c r="L58" s="151">
        <f t="shared" si="30"/>
        <v>0</v>
      </c>
      <c r="M58" s="65">
        <f t="shared" si="31"/>
        <v>0</v>
      </c>
      <c r="N58" s="65">
        <v>0</v>
      </c>
      <c r="O58" s="65"/>
      <c r="P58" s="65"/>
      <c r="Q58" s="151">
        <f t="shared" si="32"/>
        <v>0</v>
      </c>
      <c r="R58" s="151"/>
      <c r="S58" s="151">
        <f t="shared" si="33"/>
        <v>0</v>
      </c>
      <c r="T58" s="151"/>
      <c r="U58" s="151"/>
      <c r="V58" s="169" t="s">
        <v>61</v>
      </c>
      <c r="W58" s="63"/>
      <c r="X58" s="153"/>
      <c r="Y58" s="63"/>
      <c r="Z58" s="105"/>
      <c r="AA58" s="63"/>
      <c r="AB58" s="105"/>
    </row>
    <row r="59" spans="1:28" ht="24.75">
      <c r="A59" s="139" t="s">
        <v>128</v>
      </c>
      <c r="B59" s="139" t="s">
        <v>127</v>
      </c>
      <c r="C59" s="123"/>
      <c r="D59" s="123"/>
      <c r="E59" s="124"/>
      <c r="F59" s="116"/>
      <c r="G59" s="116"/>
      <c r="H59" s="114"/>
      <c r="I59" s="114"/>
      <c r="J59" s="114"/>
      <c r="K59" s="131"/>
      <c r="L59" s="151">
        <f t="shared" si="30"/>
        <v>37706000</v>
      </c>
      <c r="M59" s="67"/>
      <c r="N59" s="67"/>
      <c r="O59" s="67"/>
      <c r="P59" s="67"/>
      <c r="Q59" s="151">
        <f>Y59+Z59</f>
        <v>37303000</v>
      </c>
      <c r="R59" s="151"/>
      <c r="S59" s="151">
        <f t="shared" si="33"/>
        <v>39570000</v>
      </c>
      <c r="T59" s="151"/>
      <c r="U59" s="151"/>
      <c r="V59" s="169"/>
      <c r="W59" s="108">
        <f>W60</f>
        <v>37706000</v>
      </c>
      <c r="X59" s="108">
        <f t="shared" ref="X59:AB59" si="34">X60</f>
        <v>0</v>
      </c>
      <c r="Y59" s="108">
        <f t="shared" si="34"/>
        <v>37303000</v>
      </c>
      <c r="Z59" s="108">
        <f t="shared" si="34"/>
        <v>0</v>
      </c>
      <c r="AA59" s="108">
        <f t="shared" si="34"/>
        <v>39570000</v>
      </c>
      <c r="AB59" s="108">
        <f t="shared" si="34"/>
        <v>0</v>
      </c>
    </row>
    <row r="60" spans="1:28" ht="36.75">
      <c r="A60" s="161" t="s">
        <v>114</v>
      </c>
      <c r="B60" s="120" t="s">
        <v>126</v>
      </c>
      <c r="C60" s="123"/>
      <c r="D60" s="123"/>
      <c r="E60" s="124"/>
      <c r="F60" s="116"/>
      <c r="G60" s="116"/>
      <c r="H60" s="114"/>
      <c r="I60" s="114"/>
      <c r="J60" s="114"/>
      <c r="K60" s="131"/>
      <c r="L60" s="151">
        <f t="shared" si="30"/>
        <v>37706000</v>
      </c>
      <c r="M60" s="67"/>
      <c r="N60" s="67"/>
      <c r="O60" s="67"/>
      <c r="P60" s="67"/>
      <c r="Q60" s="151">
        <f t="shared" si="32"/>
        <v>37303000</v>
      </c>
      <c r="R60" s="151"/>
      <c r="S60" s="151">
        <f t="shared" si="33"/>
        <v>39570000</v>
      </c>
      <c r="T60" s="151"/>
      <c r="U60" s="151"/>
      <c r="V60" s="169">
        <v>906</v>
      </c>
      <c r="W60" s="108">
        <v>37706000</v>
      </c>
      <c r="X60" s="158"/>
      <c r="Y60" s="108">
        <v>37303000</v>
      </c>
      <c r="Z60" s="109"/>
      <c r="AA60" s="108">
        <v>39570000</v>
      </c>
      <c r="AB60" s="109"/>
    </row>
    <row r="61" spans="1:28" ht="24.75" hidden="1">
      <c r="A61" s="43" t="s">
        <v>73</v>
      </c>
      <c r="B61" s="44" t="s">
        <v>72</v>
      </c>
      <c r="C61" s="49"/>
      <c r="D61" s="49"/>
      <c r="E61" s="50"/>
      <c r="F61" s="51">
        <f t="shared" si="8"/>
        <v>0</v>
      </c>
      <c r="G61" s="51">
        <f t="shared" si="9"/>
        <v>0</v>
      </c>
      <c r="H61" s="61"/>
      <c r="I61" s="61"/>
      <c r="J61" s="61"/>
      <c r="K61" s="61">
        <v>1000</v>
      </c>
      <c r="L61" s="154">
        <f t="shared" si="30"/>
        <v>0</v>
      </c>
      <c r="M61" s="67">
        <f t="shared" si="31"/>
        <v>-1000</v>
      </c>
      <c r="N61" s="67">
        <v>0</v>
      </c>
      <c r="O61" s="67"/>
      <c r="P61" s="67"/>
      <c r="Q61" s="67">
        <f t="shared" si="32"/>
        <v>0</v>
      </c>
      <c r="R61" s="67"/>
      <c r="S61" s="151">
        <f t="shared" si="33"/>
        <v>0</v>
      </c>
      <c r="T61" s="174"/>
      <c r="U61" s="174"/>
      <c r="V61" s="6" t="s">
        <v>64</v>
      </c>
      <c r="W61" s="108"/>
      <c r="X61" s="109"/>
      <c r="Y61" s="108"/>
      <c r="Z61" s="109"/>
      <c r="AA61" s="108"/>
      <c r="AB61" s="109"/>
    </row>
    <row r="62" spans="1:28" hidden="1">
      <c r="A62" s="180" t="s">
        <v>49</v>
      </c>
      <c r="B62" s="10" t="s">
        <v>18</v>
      </c>
      <c r="C62" s="21">
        <f>180+360</f>
        <v>540</v>
      </c>
      <c r="D62" s="21">
        <v>360</v>
      </c>
      <c r="E62" s="29">
        <f>180000+360000</f>
        <v>540000</v>
      </c>
      <c r="F62" s="6">
        <f t="shared" si="8"/>
        <v>540</v>
      </c>
      <c r="G62" s="6">
        <f t="shared" si="9"/>
        <v>0</v>
      </c>
      <c r="H62" s="60"/>
      <c r="I62" s="60"/>
      <c r="J62" s="60"/>
      <c r="K62" s="60"/>
      <c r="L62" s="65"/>
      <c r="M62" s="65"/>
      <c r="N62" s="65"/>
      <c r="O62" s="155"/>
      <c r="P62" s="155"/>
      <c r="Q62" s="155"/>
      <c r="R62" s="155"/>
      <c r="S62" s="151">
        <f t="shared" si="33"/>
        <v>0</v>
      </c>
      <c r="T62" s="174"/>
      <c r="U62" s="174"/>
      <c r="V62" s="6"/>
      <c r="W62" s="6"/>
      <c r="X62" s="156"/>
      <c r="Y62" s="6"/>
      <c r="Z62" s="156"/>
      <c r="AA62" s="6"/>
      <c r="AB62" s="156"/>
    </row>
    <row r="63" spans="1:28" ht="16.899999999999999" customHeight="1">
      <c r="A63" s="45" t="s">
        <v>55</v>
      </c>
      <c r="B63" s="55" t="s">
        <v>56</v>
      </c>
      <c r="C63" s="33">
        <f>3208.7+534.9</f>
        <v>3743.6</v>
      </c>
      <c r="D63" s="34"/>
      <c r="E63" s="35">
        <f>3208759+534875</f>
        <v>3743634</v>
      </c>
      <c r="F63" s="6">
        <f>E63/1000</f>
        <v>3743.634</v>
      </c>
      <c r="G63" s="6">
        <f>F63-C63</f>
        <v>3.4000000000105501E-2</v>
      </c>
      <c r="H63" s="60"/>
      <c r="I63" s="60"/>
      <c r="J63" s="60"/>
      <c r="K63" s="60"/>
      <c r="L63" s="65">
        <v>124000</v>
      </c>
      <c r="M63" s="65"/>
      <c r="N63" s="65"/>
      <c r="O63" s="155"/>
      <c r="P63" s="155"/>
      <c r="Q63" s="155"/>
      <c r="R63" s="155"/>
      <c r="S63" s="151">
        <f t="shared" si="33"/>
        <v>0</v>
      </c>
      <c r="T63" s="174"/>
      <c r="U63" s="174"/>
      <c r="V63" s="6">
        <v>905</v>
      </c>
      <c r="W63" s="6"/>
      <c r="X63" s="156"/>
      <c r="Y63" s="6"/>
      <c r="Z63" s="156"/>
      <c r="AA63" s="6"/>
      <c r="AB63" s="156"/>
    </row>
    <row r="64" spans="1:28">
      <c r="C64" s="22">
        <f>C6</f>
        <v>864721.7</v>
      </c>
      <c r="D64" s="22">
        <f>D6</f>
        <v>360</v>
      </c>
      <c r="E64" s="22">
        <f>E6</f>
        <v>864721718.66999996</v>
      </c>
      <c r="F64" s="22">
        <f>F6</f>
        <v>832206.21461999987</v>
      </c>
      <c r="G64" s="22">
        <f>G6</f>
        <v>0.11462000000285499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6"/>
      <c r="W64" s="6"/>
      <c r="X64" s="156"/>
      <c r="Y64" s="6"/>
      <c r="Z64" s="156"/>
      <c r="AA64" s="6"/>
      <c r="AB64" s="156"/>
    </row>
    <row r="65" spans="1:28">
      <c r="C65" s="6">
        <f>C6-C64</f>
        <v>0</v>
      </c>
      <c r="D65" s="6">
        <f>D6-D64</f>
        <v>0</v>
      </c>
      <c r="E65" s="6">
        <f>E6-E64</f>
        <v>0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6"/>
      <c r="W65" s="6"/>
      <c r="X65" s="156"/>
      <c r="Y65" s="6"/>
      <c r="Z65" s="156"/>
      <c r="AA65" s="6"/>
      <c r="AB65" s="156"/>
    </row>
    <row r="66" spans="1:28">
      <c r="A66" s="3" t="s">
        <v>137</v>
      </c>
      <c r="C66" s="6"/>
      <c r="D66" s="6"/>
      <c r="E66" s="6"/>
      <c r="H66" s="46">
        <v>0</v>
      </c>
      <c r="I66" s="46">
        <v>1</v>
      </c>
      <c r="J66" s="46"/>
      <c r="K66" s="46"/>
      <c r="L66" s="46">
        <f>L7</f>
        <v>26214000</v>
      </c>
      <c r="M66" s="46">
        <f t="shared" ref="M66:R66" si="35">M7</f>
        <v>26214000</v>
      </c>
      <c r="N66" s="46">
        <f t="shared" si="35"/>
        <v>0</v>
      </c>
      <c r="O66" s="46">
        <f t="shared" si="35"/>
        <v>0</v>
      </c>
      <c r="P66" s="46">
        <f t="shared" si="35"/>
        <v>0</v>
      </c>
      <c r="Q66" s="46">
        <f t="shared" ref="Q66:AB66" si="36">Q7</f>
        <v>0</v>
      </c>
      <c r="R66" s="46">
        <f t="shared" si="35"/>
        <v>18077000</v>
      </c>
      <c r="S66" s="46">
        <f t="shared" si="36"/>
        <v>0</v>
      </c>
      <c r="T66" s="46">
        <f t="shared" si="36"/>
        <v>0</v>
      </c>
      <c r="U66" s="46">
        <f t="shared" si="36"/>
        <v>0</v>
      </c>
      <c r="V66" s="46">
        <f t="shared" si="36"/>
        <v>0</v>
      </c>
      <c r="W66" s="46">
        <f t="shared" si="36"/>
        <v>0</v>
      </c>
      <c r="X66" s="46">
        <f t="shared" si="36"/>
        <v>26214000</v>
      </c>
      <c r="Y66" s="46">
        <f t="shared" si="36"/>
        <v>0</v>
      </c>
      <c r="Z66" s="46">
        <f t="shared" si="36"/>
        <v>0</v>
      </c>
      <c r="AA66" s="46">
        <f t="shared" si="36"/>
        <v>0</v>
      </c>
      <c r="AB66" s="46">
        <f t="shared" si="36"/>
        <v>0</v>
      </c>
    </row>
    <row r="67" spans="1:28">
      <c r="A67" s="3" t="s">
        <v>61</v>
      </c>
      <c r="C67" s="6"/>
      <c r="D67" s="6"/>
      <c r="E67" s="6"/>
      <c r="H67" s="46">
        <f>H22+H20+H30+H31+H32+H46+H47+H50+H51+H58+H7</f>
        <v>3325</v>
      </c>
      <c r="I67" s="46">
        <f>I22+I20+I30+I31+I32+I46+I47+I50+I51+I58+I7</f>
        <v>13244</v>
      </c>
      <c r="J67" s="46">
        <f>J22+J20+J30+J31+J32+J46+J47+J50+J51+J58+J7</f>
        <v>2221</v>
      </c>
      <c r="K67" s="46">
        <f>K22+K20+K30+K31+K32+K46+K47+K50+K51+K58+K7</f>
        <v>12180</v>
      </c>
      <c r="L67" s="103">
        <f>L22+L20+L30+L31+L32+L46+L47+L50+L51+L58+L49</f>
        <v>4458743.5999999996</v>
      </c>
      <c r="M67" s="103">
        <f>M22+M20+M30+M31+M32+M46+M47+M50+M51+M58+M49</f>
        <v>4446563.5999999996</v>
      </c>
      <c r="N67" s="103">
        <f>N22+N20+N30+N31+N32+N46+N47+N50+N51+N58+N49</f>
        <v>2180</v>
      </c>
      <c r="O67" s="103">
        <f>O22+O20+O30+O31+O32+O46+O47+O50+O51+O58+O49</f>
        <v>0</v>
      </c>
      <c r="P67" s="103">
        <f>P22+P20+P30+P31+P32+P46+P47+P50+P51+P58+P49</f>
        <v>0</v>
      </c>
      <c r="Q67" s="103">
        <f>Q20+Q30+Q31+Q32+Q33+Q34+Q35+Q46+Q47+Q49+Q50+Q51</f>
        <v>4501921.05</v>
      </c>
      <c r="R67" s="103">
        <f>R20+R30+R31+R32+R33+R34+R35+R46+R47+R49+R50+R51</f>
        <v>14279324</v>
      </c>
      <c r="S67" s="103">
        <f t="shared" ref="S67:AB67" si="37">S20+S30+S31+S32+S33+S34+S35+S46+S47+S49+S50+S51</f>
        <v>4702166.04</v>
      </c>
      <c r="T67" s="103">
        <f t="shared" si="37"/>
        <v>14224324</v>
      </c>
      <c r="U67" s="103">
        <f t="shared" si="37"/>
        <v>4224324</v>
      </c>
      <c r="V67" s="103">
        <f t="shared" si="37"/>
        <v>10824</v>
      </c>
      <c r="W67" s="103">
        <f t="shared" si="37"/>
        <v>1060634.92</v>
      </c>
      <c r="X67" s="103">
        <f t="shared" si="37"/>
        <v>3398108.6799999997</v>
      </c>
      <c r="Y67" s="103">
        <f t="shared" si="37"/>
        <v>1094794.05</v>
      </c>
      <c r="Z67" s="103">
        <f t="shared" si="37"/>
        <v>3407127</v>
      </c>
      <c r="AA67" s="103">
        <f t="shared" si="37"/>
        <v>1250281.25</v>
      </c>
      <c r="AB67" s="103">
        <f t="shared" si="37"/>
        <v>3451884.79</v>
      </c>
    </row>
    <row r="68" spans="1:28">
      <c r="A68" s="3" t="s">
        <v>63</v>
      </c>
      <c r="H68" s="46">
        <f t="shared" ref="H68:P68" si="38">H56</f>
        <v>3104</v>
      </c>
      <c r="I68" s="46">
        <f t="shared" si="38"/>
        <v>5684</v>
      </c>
      <c r="J68" s="46">
        <f t="shared" si="38"/>
        <v>3954</v>
      </c>
      <c r="K68" s="46">
        <f t="shared" si="38"/>
        <v>5031</v>
      </c>
      <c r="L68" s="103">
        <f t="shared" si="38"/>
        <v>13169800</v>
      </c>
      <c r="M68" s="103">
        <f t="shared" si="38"/>
        <v>13164769</v>
      </c>
      <c r="N68" s="103">
        <f t="shared" si="38"/>
        <v>4385</v>
      </c>
      <c r="O68" s="103">
        <f t="shared" si="38"/>
        <v>0</v>
      </c>
      <c r="P68" s="103">
        <f t="shared" si="38"/>
        <v>0</v>
      </c>
      <c r="Q68" s="103">
        <f>Q36+Q56</f>
        <v>19253400</v>
      </c>
      <c r="R68" s="103">
        <f>R36+R56</f>
        <v>12204000</v>
      </c>
      <c r="S68" s="103">
        <f t="shared" ref="S68:AB68" si="39">S36+S56</f>
        <v>20252000</v>
      </c>
      <c r="T68" s="103">
        <f t="shared" si="39"/>
        <v>46725000</v>
      </c>
      <c r="U68" s="103">
        <f t="shared" si="39"/>
        <v>49243718</v>
      </c>
      <c r="V68" s="103">
        <f t="shared" si="39"/>
        <v>1808</v>
      </c>
      <c r="W68" s="103">
        <f t="shared" si="39"/>
        <v>3473800</v>
      </c>
      <c r="X68" s="103">
        <f t="shared" si="39"/>
        <v>9696000</v>
      </c>
      <c r="Y68" s="103">
        <f t="shared" si="39"/>
        <v>5078400</v>
      </c>
      <c r="Z68" s="103">
        <f t="shared" si="39"/>
        <v>14175000</v>
      </c>
      <c r="AA68" s="103">
        <f t="shared" si="39"/>
        <v>5342000</v>
      </c>
      <c r="AB68" s="103">
        <f t="shared" si="39"/>
        <v>14910000</v>
      </c>
    </row>
    <row r="69" spans="1:28">
      <c r="A69" s="3" t="s">
        <v>60</v>
      </c>
      <c r="H69" s="46">
        <f>H15+H26+H27+H29+H43+H44+H45+H54+H55</f>
        <v>601453</v>
      </c>
      <c r="I69" s="46">
        <f>I15+I26+I27+I29+I43+I44+I45+I54+I55</f>
        <v>770705.8</v>
      </c>
      <c r="J69" s="46">
        <f>J15+J26+J27+J29+J43+J44+J45+J54+J55</f>
        <v>688970</v>
      </c>
      <c r="K69" s="46">
        <f>K15+K26+K27+K29+K43+K44+K45+K54+K55</f>
        <v>535811</v>
      </c>
      <c r="L69" s="103">
        <f t="shared" ref="L69:P69" si="40">L15+L26+L27+L29+L43+L44+L45+L54+L55+L17+L60+L18</f>
        <v>873026254</v>
      </c>
      <c r="M69" s="103">
        <f t="shared" si="40"/>
        <v>834784443</v>
      </c>
      <c r="N69" s="103">
        <f t="shared" si="40"/>
        <v>408610</v>
      </c>
      <c r="O69" s="103">
        <f t="shared" si="40"/>
        <v>0</v>
      </c>
      <c r="P69" s="103">
        <f t="shared" si="40"/>
        <v>0</v>
      </c>
      <c r="Q69" s="103">
        <f>Q15+Q17+Q18+Q26+Q27+Q29+Q43+Q44+Q45+Q54+Q55+Q60</f>
        <v>906943857</v>
      </c>
      <c r="R69" s="103">
        <f>R15+R17+R18+R26+R27+R29+R43+R44+R45+R54+R55+R60</f>
        <v>957328762</v>
      </c>
      <c r="S69" s="103">
        <f t="shared" ref="S69:AB69" si="41">S15+S17+S18+S26+S27+S29+S43+S44+S45+S54+S55+S60</f>
        <v>909358062.99000001</v>
      </c>
      <c r="T69" s="103">
        <f t="shared" si="41"/>
        <v>967407381</v>
      </c>
      <c r="U69" s="103">
        <f t="shared" si="41"/>
        <v>1051617281</v>
      </c>
      <c r="V69" s="103">
        <f t="shared" si="41"/>
        <v>10872</v>
      </c>
      <c r="W69" s="103">
        <f t="shared" si="41"/>
        <v>72418491</v>
      </c>
      <c r="X69" s="103">
        <f t="shared" si="41"/>
        <v>800607763</v>
      </c>
      <c r="Y69" s="103">
        <f t="shared" si="41"/>
        <v>69993733</v>
      </c>
      <c r="Z69" s="103">
        <f t="shared" si="41"/>
        <v>836950124</v>
      </c>
      <c r="AA69" s="103">
        <f t="shared" si="41"/>
        <v>96366708.879999995</v>
      </c>
      <c r="AB69" s="103">
        <f t="shared" si="41"/>
        <v>812991354.11000001</v>
      </c>
    </row>
    <row r="70" spans="1:28">
      <c r="A70" s="3" t="s">
        <v>64</v>
      </c>
      <c r="H70" s="46">
        <f>H21+H57+H61</f>
        <v>110</v>
      </c>
      <c r="I70" s="46">
        <f>I21+I57+I61</f>
        <v>4134.2</v>
      </c>
      <c r="J70" s="46">
        <f>J21+J57+J61</f>
        <v>110</v>
      </c>
      <c r="K70" s="46">
        <f>K21+K57+K61</f>
        <v>1111</v>
      </c>
      <c r="L70" s="103">
        <f t="shared" ref="L70:P70" si="42">L21+L57+L37</f>
        <v>8800644.6400000006</v>
      </c>
      <c r="M70" s="103">
        <f t="shared" si="42"/>
        <v>8800533.6400000006</v>
      </c>
      <c r="N70" s="103">
        <f t="shared" si="42"/>
        <v>111</v>
      </c>
      <c r="O70" s="103">
        <f t="shared" si="42"/>
        <v>0</v>
      </c>
      <c r="P70" s="103">
        <f t="shared" si="42"/>
        <v>0</v>
      </c>
      <c r="Q70" s="103">
        <f>Q21+Q57+Q37</f>
        <v>181995</v>
      </c>
      <c r="R70" s="103">
        <f>R21+R57+R37</f>
        <v>2050225</v>
      </c>
      <c r="S70" s="103">
        <f t="shared" ref="S70:AB70" si="43">S21+S57+S37</f>
        <v>181995</v>
      </c>
      <c r="T70" s="103">
        <f t="shared" si="43"/>
        <v>136203</v>
      </c>
      <c r="U70" s="103">
        <f t="shared" si="43"/>
        <v>118139</v>
      </c>
      <c r="V70" s="103">
        <f t="shared" si="43"/>
        <v>2721</v>
      </c>
      <c r="W70" s="103">
        <f t="shared" si="43"/>
        <v>7814896</v>
      </c>
      <c r="X70" s="103">
        <f t="shared" si="43"/>
        <v>985748.64</v>
      </c>
      <c r="Y70" s="103">
        <f t="shared" si="43"/>
        <v>72896</v>
      </c>
      <c r="Z70" s="103">
        <f t="shared" si="43"/>
        <v>109099</v>
      </c>
      <c r="AA70" s="103">
        <f t="shared" si="43"/>
        <v>72896</v>
      </c>
      <c r="AB70" s="103">
        <f t="shared" si="43"/>
        <v>109099</v>
      </c>
    </row>
    <row r="71" spans="1:28">
      <c r="A71" s="3" t="s">
        <v>62</v>
      </c>
      <c r="H71" s="46">
        <f>H11+H23+H16+H52+H53</f>
        <v>1286</v>
      </c>
      <c r="I71" s="46">
        <f>I11+I23+I16+I52+I53</f>
        <v>42332</v>
      </c>
      <c r="J71" s="46">
        <f>J11+J23+J16+J52+J53</f>
        <v>1286</v>
      </c>
      <c r="K71" s="46">
        <f>K11+K23+K16+K52+K53</f>
        <v>2581</v>
      </c>
      <c r="L71" s="103">
        <f>L11+L23+L16+L52+L53+L61+L12+L28+L63+L48</f>
        <v>40139631.43</v>
      </c>
      <c r="M71" s="103">
        <f>M11+M23+M16+M52+M53+M61+M12+M28+M63+M48</f>
        <v>40012050.43</v>
      </c>
      <c r="N71" s="103">
        <f>N11+N23+N16+N52+N53+N61+N12+N28+N63+N48</f>
        <v>2649</v>
      </c>
      <c r="O71" s="103">
        <f>O11+O23+O16+O52+O53+O61+O12+O28+O63+O48</f>
        <v>0</v>
      </c>
      <c r="P71" s="103">
        <f>P11+P23+P16+P52+P53+P61+P12+P28+P63+P48</f>
        <v>0</v>
      </c>
      <c r="Q71" s="103">
        <f>Q11+Q12+Q16+Q19+Q23+Q28+Q48+Q52+Q53</f>
        <v>51965387.739999995</v>
      </c>
      <c r="R71" s="103">
        <f>R11+R12+R16+R19+R23+R28+R48+R52+R53</f>
        <v>59324000</v>
      </c>
      <c r="S71" s="103">
        <f t="shared" ref="S71:AB71" si="44">S11+S12+S16+S19+S23+S28+S48+S52+S53</f>
        <v>56284634.090000004</v>
      </c>
      <c r="T71" s="103">
        <f t="shared" si="44"/>
        <v>49692100</v>
      </c>
      <c r="U71" s="103">
        <f t="shared" si="44"/>
        <v>61318000</v>
      </c>
      <c r="V71" s="103">
        <f t="shared" si="44"/>
        <v>8145</v>
      </c>
      <c r="W71" s="103">
        <f t="shared" si="44"/>
        <v>12642043.119999999</v>
      </c>
      <c r="X71" s="103">
        <f t="shared" si="44"/>
        <v>27373588.309999999</v>
      </c>
      <c r="Y71" s="103">
        <f t="shared" si="44"/>
        <v>17165275.869999997</v>
      </c>
      <c r="Z71" s="103">
        <f t="shared" si="44"/>
        <v>34800111.870000005</v>
      </c>
      <c r="AA71" s="103">
        <f t="shared" si="44"/>
        <v>18635298.75</v>
      </c>
      <c r="AB71" s="103">
        <f t="shared" si="44"/>
        <v>37649335.340000004</v>
      </c>
    </row>
    <row r="72" spans="1:28"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6"/>
      <c r="W72" s="46"/>
      <c r="X72" s="103"/>
      <c r="Y72" s="46"/>
      <c r="Z72" s="103"/>
      <c r="AA72" s="46"/>
      <c r="AB72" s="103"/>
    </row>
    <row r="73" spans="1:28">
      <c r="H73" s="53">
        <f t="shared" ref="H73:W73" si="45">SUM(H66:H72)</f>
        <v>609278</v>
      </c>
      <c r="I73" s="53">
        <f t="shared" si="45"/>
        <v>836101</v>
      </c>
      <c r="J73" s="53">
        <f t="shared" si="45"/>
        <v>696541</v>
      </c>
      <c r="K73" s="53">
        <f t="shared" si="45"/>
        <v>556714</v>
      </c>
      <c r="L73" s="104">
        <f>SUM(L66:L72)</f>
        <v>965809073.66999996</v>
      </c>
      <c r="M73" s="104">
        <f t="shared" si="45"/>
        <v>927422359.66999996</v>
      </c>
      <c r="N73" s="104">
        <f t="shared" si="45"/>
        <v>417935</v>
      </c>
      <c r="O73" s="104"/>
      <c r="P73" s="104"/>
      <c r="Q73" s="104">
        <f t="shared" si="45"/>
        <v>982846560.78999996</v>
      </c>
      <c r="R73" s="187">
        <f t="shared" si="45"/>
        <v>1063263311</v>
      </c>
      <c r="S73" s="104">
        <f t="shared" si="45"/>
        <v>990778858.12</v>
      </c>
      <c r="T73" s="187">
        <f t="shared" si="45"/>
        <v>1078185008</v>
      </c>
      <c r="U73" s="187">
        <f t="shared" si="45"/>
        <v>1166521462</v>
      </c>
      <c r="V73" s="104"/>
      <c r="W73" s="104">
        <f t="shared" si="45"/>
        <v>97409865.040000007</v>
      </c>
      <c r="X73" s="104">
        <f>SUM(X66:X72)</f>
        <v>868275208.62999988</v>
      </c>
      <c r="Y73" s="104">
        <f t="shared" ref="Y73:AB73" si="46">SUM(Y66:Y72)</f>
        <v>93405098.919999987</v>
      </c>
      <c r="Z73" s="104">
        <f t="shared" si="46"/>
        <v>889441461.87</v>
      </c>
      <c r="AA73" s="104">
        <f t="shared" si="46"/>
        <v>121667184.88</v>
      </c>
      <c r="AB73" s="104">
        <f t="shared" si="46"/>
        <v>869111673.24000001</v>
      </c>
    </row>
    <row r="74" spans="1:28"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6"/>
      <c r="W74" s="46">
        <f t="shared" ref="W74:AB74" si="47">W73-W5</f>
        <v>0</v>
      </c>
      <c r="X74" s="46">
        <f t="shared" si="47"/>
        <v>0</v>
      </c>
      <c r="Y74" s="46">
        <f t="shared" si="47"/>
        <v>0</v>
      </c>
      <c r="Z74" s="46">
        <f t="shared" si="47"/>
        <v>0</v>
      </c>
      <c r="AA74" s="46">
        <f t="shared" si="47"/>
        <v>0</v>
      </c>
      <c r="AB74" s="46">
        <f t="shared" si="47"/>
        <v>0</v>
      </c>
    </row>
    <row r="75" spans="1:28"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6"/>
      <c r="W75" s="46"/>
      <c r="X75" s="103"/>
      <c r="Y75" s="46"/>
      <c r="Z75" s="103"/>
      <c r="AA75" s="46"/>
      <c r="AB75" s="103"/>
    </row>
    <row r="76" spans="1:28">
      <c r="A76" s="3">
        <v>0</v>
      </c>
      <c r="H76" s="46">
        <f t="shared" ref="H76:N76" si="48">H73-H5</f>
        <v>0</v>
      </c>
      <c r="I76" s="46">
        <f t="shared" si="48"/>
        <v>1</v>
      </c>
      <c r="J76" s="46">
        <f t="shared" si="48"/>
        <v>0</v>
      </c>
      <c r="K76" s="46">
        <f t="shared" si="48"/>
        <v>11000</v>
      </c>
      <c r="L76" s="46">
        <f t="shared" si="48"/>
        <v>0</v>
      </c>
      <c r="M76" s="46">
        <f t="shared" si="48"/>
        <v>0</v>
      </c>
      <c r="N76" s="46">
        <f t="shared" si="48"/>
        <v>0</v>
      </c>
      <c r="O76" s="46"/>
      <c r="P76" s="46"/>
      <c r="Q76" s="46">
        <f>Q73-Q5</f>
        <v>0</v>
      </c>
      <c r="R76" s="46">
        <f t="shared" ref="R76:AB76" si="49">R73-R5</f>
        <v>0</v>
      </c>
      <c r="S76" s="46">
        <f t="shared" si="49"/>
        <v>0</v>
      </c>
      <c r="T76" s="46">
        <f t="shared" si="49"/>
        <v>0</v>
      </c>
      <c r="U76" s="46">
        <f t="shared" si="49"/>
        <v>0</v>
      </c>
      <c r="V76" s="46">
        <f t="shared" si="49"/>
        <v>0</v>
      </c>
      <c r="W76" s="46">
        <f t="shared" si="49"/>
        <v>0</v>
      </c>
      <c r="X76" s="46">
        <f t="shared" si="49"/>
        <v>0</v>
      </c>
      <c r="Y76" s="46">
        <f t="shared" si="49"/>
        <v>0</v>
      </c>
      <c r="Z76" s="46">
        <f t="shared" si="49"/>
        <v>0</v>
      </c>
      <c r="AA76" s="46">
        <f t="shared" si="49"/>
        <v>0</v>
      </c>
      <c r="AB76" s="46">
        <f t="shared" si="49"/>
        <v>0</v>
      </c>
    </row>
    <row r="77" spans="1:28"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156"/>
      <c r="Y77" s="6"/>
      <c r="Z77" s="156"/>
      <c r="AA77" s="6"/>
      <c r="AB77" s="156"/>
    </row>
    <row r="78" spans="1:28"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156"/>
      <c r="Y78" s="6"/>
      <c r="Z78" s="156"/>
      <c r="AA78" s="6"/>
      <c r="AB78" s="156"/>
    </row>
    <row r="79" spans="1:28"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156"/>
      <c r="Y79" s="6"/>
      <c r="Z79" s="156"/>
      <c r="AA79" s="6"/>
      <c r="AB79" s="156"/>
    </row>
    <row r="80" spans="1:28"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156"/>
      <c r="Y80" s="6"/>
      <c r="Z80" s="156"/>
      <c r="AA80" s="6"/>
      <c r="AB80" s="156"/>
    </row>
    <row r="81" spans="12:28"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156"/>
      <c r="Y81" s="6"/>
      <c r="Z81" s="156"/>
      <c r="AA81" s="6"/>
      <c r="AB81" s="156"/>
    </row>
    <row r="82" spans="12:28"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156"/>
      <c r="Y82" s="6"/>
      <c r="Z82" s="156"/>
      <c r="AA82" s="6"/>
      <c r="AB82" s="156"/>
    </row>
    <row r="83" spans="12:28"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156"/>
      <c r="Y83" s="6"/>
      <c r="Z83" s="156"/>
      <c r="AA83" s="6"/>
      <c r="AB83" s="156"/>
    </row>
    <row r="84" spans="12:28"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156"/>
      <c r="Y84" s="6"/>
      <c r="Z84" s="156"/>
      <c r="AA84" s="6"/>
      <c r="AB84" s="156"/>
    </row>
  </sheetData>
  <mergeCells count="3">
    <mergeCell ref="A1:S1"/>
    <mergeCell ref="A2:S2"/>
    <mergeCell ref="A3:S3"/>
  </mergeCells>
  <pageMargins left="0" right="0" top="0" bottom="0" header="0.31496062992125984" footer="0.31496062992125984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>
    <tabColor rgb="FF00B050"/>
  </sheetPr>
  <dimension ref="A1:AB79"/>
  <sheetViews>
    <sheetView workbookViewId="0">
      <pane xSplit="7" ySplit="4" topLeftCell="L15" activePane="bottomRight" state="frozen"/>
      <selection pane="topRight" activeCell="H1" sqref="H1"/>
      <selection pane="bottomLeft" activeCell="A5" sqref="A5"/>
      <selection pane="bottomRight" activeCell="S68" sqref="S68:U68"/>
    </sheetView>
  </sheetViews>
  <sheetFormatPr defaultColWidth="8.85546875" defaultRowHeight="15"/>
  <cols>
    <col min="1" max="1" width="20.7109375" style="3" customWidth="1"/>
    <col min="2" max="2" width="76.28515625" style="3" customWidth="1"/>
    <col min="3" max="3" width="17.85546875" style="3" hidden="1" customWidth="1"/>
    <col min="4" max="4" width="16.140625" style="3" hidden="1" customWidth="1"/>
    <col min="5" max="5" width="18.5703125" style="3" hidden="1" customWidth="1"/>
    <col min="6" max="6" width="11.7109375" style="3" hidden="1" customWidth="1"/>
    <col min="7" max="7" width="11" style="3" hidden="1" customWidth="1"/>
    <col min="8" max="10" width="14.28515625" style="3" hidden="1" customWidth="1"/>
    <col min="11" max="11" width="13.7109375" style="3" hidden="1" customWidth="1"/>
    <col min="12" max="12" width="14.85546875" style="3" customWidth="1"/>
    <col min="13" max="16" width="14.85546875" style="3" hidden="1" customWidth="1"/>
    <col min="17" max="21" width="14.85546875" style="3" customWidth="1"/>
    <col min="22" max="22" width="8.85546875" style="3"/>
    <col min="23" max="23" width="12.85546875" style="3" customWidth="1"/>
    <col min="24" max="24" width="14.28515625" style="102" customWidth="1"/>
    <col min="25" max="25" width="13.28515625" style="3" customWidth="1"/>
    <col min="26" max="26" width="13.5703125" style="102" customWidth="1"/>
    <col min="27" max="27" width="13.7109375" style="3" customWidth="1"/>
    <col min="28" max="28" width="13.28515625" style="102" customWidth="1"/>
    <col min="29" max="16384" width="8.85546875" style="3"/>
  </cols>
  <sheetData>
    <row r="1" spans="1:28" ht="12" customHeight="1">
      <c r="A1" s="398" t="s">
        <v>0</v>
      </c>
      <c r="B1" s="398"/>
      <c r="C1" s="398"/>
      <c r="D1" s="398"/>
      <c r="E1" s="398"/>
      <c r="F1" s="398"/>
      <c r="G1" s="398"/>
      <c r="H1" s="398"/>
      <c r="I1" s="398"/>
      <c r="J1" s="398"/>
      <c r="K1" s="398"/>
      <c r="L1" s="398"/>
      <c r="M1" s="398"/>
      <c r="N1" s="398"/>
      <c r="O1" s="398"/>
      <c r="P1" s="398"/>
      <c r="Q1" s="398"/>
      <c r="R1" s="398"/>
      <c r="S1" s="398"/>
      <c r="T1" s="172"/>
      <c r="U1" s="172"/>
    </row>
    <row r="2" spans="1:28" ht="12" customHeight="1">
      <c r="A2" s="398" t="s">
        <v>1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172"/>
      <c r="U2" s="172"/>
    </row>
    <row r="3" spans="1:28" ht="12" customHeight="1">
      <c r="A3" s="406" t="s">
        <v>138</v>
      </c>
      <c r="B3" s="406"/>
      <c r="C3" s="406"/>
      <c r="D3" s="406"/>
      <c r="E3" s="406"/>
      <c r="F3" s="406"/>
      <c r="G3" s="406"/>
      <c r="H3" s="406"/>
      <c r="I3" s="406"/>
      <c r="J3" s="406"/>
      <c r="K3" s="406"/>
      <c r="L3" s="406"/>
      <c r="M3" s="406"/>
      <c r="N3" s="406"/>
      <c r="O3" s="406"/>
      <c r="P3" s="406"/>
      <c r="Q3" s="406"/>
      <c r="R3" s="406"/>
      <c r="S3" s="406"/>
      <c r="T3" s="173"/>
      <c r="U3" s="173"/>
      <c r="V3" s="167" t="s">
        <v>135</v>
      </c>
    </row>
    <row r="4" spans="1:28" ht="30">
      <c r="A4" s="4" t="s">
        <v>74</v>
      </c>
      <c r="B4" s="4" t="s">
        <v>2</v>
      </c>
      <c r="C4" s="4" t="s">
        <v>34</v>
      </c>
      <c r="D4" s="5" t="s">
        <v>17</v>
      </c>
      <c r="E4" s="5" t="s">
        <v>35</v>
      </c>
      <c r="H4" s="47">
        <v>2020</v>
      </c>
      <c r="I4" s="48">
        <v>2020</v>
      </c>
      <c r="J4" s="47">
        <v>2021</v>
      </c>
      <c r="K4" s="47">
        <v>2021</v>
      </c>
      <c r="L4" s="128">
        <v>2022</v>
      </c>
      <c r="M4" s="129" t="s">
        <v>117</v>
      </c>
      <c r="N4" s="129">
        <v>2022</v>
      </c>
      <c r="O4" s="129"/>
      <c r="P4" s="129"/>
      <c r="Q4" s="128">
        <v>2023</v>
      </c>
      <c r="R4" s="175" t="s">
        <v>139</v>
      </c>
      <c r="S4" s="175">
        <v>2024</v>
      </c>
      <c r="T4" s="175" t="s">
        <v>140</v>
      </c>
      <c r="U4" s="175" t="s">
        <v>141</v>
      </c>
      <c r="V4" s="167"/>
      <c r="W4" s="106" t="s">
        <v>83</v>
      </c>
      <c r="X4" s="107" t="s">
        <v>84</v>
      </c>
      <c r="Y4" s="106" t="s">
        <v>121</v>
      </c>
      <c r="Z4" s="107" t="s">
        <v>122</v>
      </c>
      <c r="AA4" s="106" t="s">
        <v>129</v>
      </c>
      <c r="AB4" s="107" t="s">
        <v>130</v>
      </c>
    </row>
    <row r="5" spans="1:28">
      <c r="A5" s="134" t="s">
        <v>57</v>
      </c>
      <c r="B5" s="113" t="s">
        <v>58</v>
      </c>
      <c r="C5" s="16">
        <f t="shared" ref="C5:S5" si="0">C6-C58</f>
        <v>860978.1</v>
      </c>
      <c r="D5" s="16">
        <f t="shared" si="0"/>
        <v>360</v>
      </c>
      <c r="E5" s="16">
        <f t="shared" si="0"/>
        <v>860978084.66999996</v>
      </c>
      <c r="F5" s="16">
        <f t="shared" si="0"/>
        <v>828462.58061999991</v>
      </c>
      <c r="G5" s="16">
        <f t="shared" si="0"/>
        <v>8.0620000002749492E-2</v>
      </c>
      <c r="H5" s="16">
        <f t="shared" si="0"/>
        <v>609278</v>
      </c>
      <c r="I5" s="16">
        <f t="shared" si="0"/>
        <v>836100</v>
      </c>
      <c r="J5" s="16">
        <f t="shared" si="0"/>
        <v>696541</v>
      </c>
      <c r="K5" s="130">
        <f t="shared" si="0"/>
        <v>545714</v>
      </c>
      <c r="L5" s="137">
        <f>L6+L58</f>
        <v>965809073.66999996</v>
      </c>
      <c r="M5" s="137">
        <f t="shared" ref="M5:Q5" si="1">M6-M58</f>
        <v>927422359.66999996</v>
      </c>
      <c r="N5" s="137">
        <f t="shared" si="1"/>
        <v>417935</v>
      </c>
      <c r="O5" s="137"/>
      <c r="P5" s="137"/>
      <c r="Q5" s="137">
        <f t="shared" si="1"/>
        <v>982846560.78999996</v>
      </c>
      <c r="R5" s="137">
        <f t="shared" ref="R5" si="2">R6-R58</f>
        <v>964095000</v>
      </c>
      <c r="S5" s="137">
        <f t="shared" si="0"/>
        <v>990778858.12</v>
      </c>
      <c r="T5" s="137">
        <f t="shared" ref="T5:U5" si="3">T6-T58</f>
        <v>958094000</v>
      </c>
      <c r="U5" s="137">
        <f t="shared" si="3"/>
        <v>1038642000</v>
      </c>
      <c r="V5" s="168"/>
      <c r="W5" s="23">
        <f t="shared" ref="W5:AB5" si="4">W6-W58</f>
        <v>97409865.039999992</v>
      </c>
      <c r="X5" s="110">
        <f t="shared" si="4"/>
        <v>868275208.63</v>
      </c>
      <c r="Y5" s="23">
        <f t="shared" si="4"/>
        <v>93405098.919999987</v>
      </c>
      <c r="Z5" s="110">
        <f t="shared" si="4"/>
        <v>889441461.87</v>
      </c>
      <c r="AA5" s="23">
        <f t="shared" si="4"/>
        <v>121667184.88</v>
      </c>
      <c r="AB5" s="110">
        <f t="shared" si="4"/>
        <v>869111673.24000001</v>
      </c>
    </row>
    <row r="6" spans="1:28">
      <c r="A6" s="134" t="s">
        <v>22</v>
      </c>
      <c r="B6" s="136" t="s">
        <v>23</v>
      </c>
      <c r="C6" s="16">
        <f>C10+C36+C57+C7+C58</f>
        <v>864721.7</v>
      </c>
      <c r="D6" s="16">
        <f>D10+D36+D57+D7+D58</f>
        <v>360</v>
      </c>
      <c r="E6" s="16">
        <f>E10+E36+E57+E7+E58</f>
        <v>864721718.66999996</v>
      </c>
      <c r="F6" s="16">
        <f>F10+F36+F57+F7+F58</f>
        <v>832206.21461999987</v>
      </c>
      <c r="G6" s="16">
        <f>G10+G36+G57+G7+G58</f>
        <v>0.11462000000285499</v>
      </c>
      <c r="H6" s="16">
        <f>H10+H36+H57+H7+H58+H56</f>
        <v>609278</v>
      </c>
      <c r="I6" s="16">
        <f>I10+I36+I57+I7+I58+I56</f>
        <v>836100</v>
      </c>
      <c r="J6" s="16">
        <f>J10+J36+J57+J7+J58+J56</f>
        <v>696541</v>
      </c>
      <c r="K6" s="130">
        <f>K36</f>
        <v>545714</v>
      </c>
      <c r="L6" s="137">
        <f>L10+L36+L57+L7+L56+L54</f>
        <v>965685073.66999996</v>
      </c>
      <c r="M6" s="137">
        <f t="shared" ref="M6" si="5">M10+M36+M57+M7+M58+M56+M54</f>
        <v>927422359.66999996</v>
      </c>
      <c r="N6" s="137">
        <f t="shared" ref="N6" si="6">N10+N36+N57+N7+N58+N56+N54</f>
        <v>417935</v>
      </c>
      <c r="O6" s="137"/>
      <c r="P6" s="137"/>
      <c r="Q6" s="137">
        <f t="shared" ref="Q6" si="7">Q10+Q36+Q57+Q7+Q58+Q56+Q54</f>
        <v>982846560.78999996</v>
      </c>
      <c r="R6" s="137">
        <f>R10+R36+R57+R7+R58+R56+R54</f>
        <v>964095000</v>
      </c>
      <c r="S6" s="137">
        <f t="shared" ref="S6:U6" si="8">S10+S36+S57+S7+S58+S56+S54</f>
        <v>990778858.12</v>
      </c>
      <c r="T6" s="137">
        <f t="shared" si="8"/>
        <v>958094000</v>
      </c>
      <c r="U6" s="137">
        <f t="shared" si="8"/>
        <v>1038642000</v>
      </c>
      <c r="V6" s="168"/>
      <c r="W6" s="137">
        <f t="shared" ref="W6" si="9">W10+W36+W57+W7+W58+W56+W54</f>
        <v>97409865.039999992</v>
      </c>
      <c r="X6" s="137">
        <f t="shared" ref="X6" si="10">X10+X36+X57+X7+X58+X56+X54</f>
        <v>868275208.63</v>
      </c>
      <c r="Y6" s="137">
        <f t="shared" ref="Y6" si="11">Y10+Y36+Y57+Y7+Y58+Y56+Y54</f>
        <v>93405098.919999987</v>
      </c>
      <c r="Z6" s="137">
        <f t="shared" ref="Z6" si="12">Z10+Z36+Z57+Z7+Z58+Z56+Z54</f>
        <v>889441461.87</v>
      </c>
      <c r="AA6" s="137">
        <f t="shared" ref="AA6" si="13">AA10+AA36+AA57+AA7+AA58+AA56+AA54</f>
        <v>121667184.88</v>
      </c>
      <c r="AB6" s="137">
        <f t="shared" ref="AB6" si="14">AB10+AB36+AB57+AB7+AB58+AB56+AB54</f>
        <v>869111673.24000001</v>
      </c>
    </row>
    <row r="7" spans="1:28">
      <c r="A7" s="134" t="s">
        <v>36</v>
      </c>
      <c r="B7" s="136" t="s">
        <v>26</v>
      </c>
      <c r="C7" s="16">
        <f>C9</f>
        <v>34649</v>
      </c>
      <c r="D7" s="16">
        <f>D9</f>
        <v>0</v>
      </c>
      <c r="E7" s="16">
        <f>E9</f>
        <v>34649000</v>
      </c>
      <c r="F7" s="16">
        <f>F9</f>
        <v>34649</v>
      </c>
      <c r="G7" s="16">
        <f>G9</f>
        <v>0</v>
      </c>
      <c r="H7" s="16">
        <f t="shared" ref="H7:K7" si="15">H9+H8</f>
        <v>1186</v>
      </c>
      <c r="I7" s="16">
        <f t="shared" si="15"/>
        <v>1823</v>
      </c>
      <c r="J7" s="16">
        <f t="shared" si="15"/>
        <v>0</v>
      </c>
      <c r="K7" s="130">
        <f t="shared" si="15"/>
        <v>0</v>
      </c>
      <c r="L7" s="151">
        <f t="shared" ref="L7:L8" si="16">W7+X7</f>
        <v>26214000</v>
      </c>
      <c r="M7" s="25">
        <f t="shared" ref="M7:U7" si="17">M8+M9</f>
        <v>26214000</v>
      </c>
      <c r="N7" s="25">
        <f t="shared" si="17"/>
        <v>0</v>
      </c>
      <c r="O7" s="25"/>
      <c r="P7" s="25"/>
      <c r="Q7" s="137">
        <f t="shared" si="17"/>
        <v>0</v>
      </c>
      <c r="R7" s="137">
        <f t="shared" si="17"/>
        <v>0</v>
      </c>
      <c r="S7" s="137">
        <f t="shared" si="17"/>
        <v>0</v>
      </c>
      <c r="T7" s="137">
        <f t="shared" si="17"/>
        <v>0</v>
      </c>
      <c r="U7" s="137">
        <f t="shared" si="17"/>
        <v>0</v>
      </c>
      <c r="V7" s="169">
        <v>906</v>
      </c>
      <c r="W7" s="24">
        <f t="shared" ref="W7:AB7" si="18">W9+W8</f>
        <v>0</v>
      </c>
      <c r="X7" s="110">
        <f>X8</f>
        <v>26214000</v>
      </c>
      <c r="Y7" s="24">
        <f t="shared" si="18"/>
        <v>0</v>
      </c>
      <c r="Z7" s="110">
        <f t="shared" si="18"/>
        <v>0</v>
      </c>
      <c r="AA7" s="24">
        <f t="shared" si="18"/>
        <v>0</v>
      </c>
      <c r="AB7" s="110">
        <f t="shared" si="18"/>
        <v>0</v>
      </c>
    </row>
    <row r="8" spans="1:28">
      <c r="A8" s="160" t="s">
        <v>76</v>
      </c>
      <c r="B8" s="163" t="s">
        <v>75</v>
      </c>
      <c r="C8" s="16"/>
      <c r="D8" s="16"/>
      <c r="E8" s="16"/>
      <c r="F8" s="125"/>
      <c r="G8" s="125"/>
      <c r="H8" s="114">
        <v>1186</v>
      </c>
      <c r="I8" s="114">
        <v>1186</v>
      </c>
      <c r="J8" s="16"/>
      <c r="K8" s="130">
        <v>0</v>
      </c>
      <c r="L8" s="151">
        <f t="shared" si="16"/>
        <v>26214000</v>
      </c>
      <c r="M8" s="65">
        <f t="shared" ref="M8:M9" si="19">L8-K8</f>
        <v>26214000</v>
      </c>
      <c r="N8" s="25">
        <v>0</v>
      </c>
      <c r="O8" s="25"/>
      <c r="P8" s="25"/>
      <c r="Q8" s="137">
        <v>0</v>
      </c>
      <c r="R8" s="137"/>
      <c r="S8" s="137">
        <v>0</v>
      </c>
      <c r="T8" s="137"/>
      <c r="U8" s="137"/>
      <c r="V8" s="169">
        <v>906</v>
      </c>
      <c r="W8" s="63"/>
      <c r="X8" s="147">
        <v>26214000</v>
      </c>
      <c r="Y8" s="63"/>
      <c r="Z8" s="105"/>
      <c r="AA8" s="63"/>
      <c r="AB8" s="105"/>
    </row>
    <row r="9" spans="1:28" ht="16.899999999999999" hidden="1" customHeight="1">
      <c r="A9" s="115" t="s">
        <v>77</v>
      </c>
      <c r="B9" s="30" t="s">
        <v>27</v>
      </c>
      <c r="C9" s="16">
        <f>9649+25000</f>
        <v>34649</v>
      </c>
      <c r="D9" s="16"/>
      <c r="E9" s="25">
        <f>9649000+25000000</f>
        <v>34649000</v>
      </c>
      <c r="F9" s="116">
        <f t="shared" ref="F9:F57" si="20">E9/1000</f>
        <v>34649</v>
      </c>
      <c r="G9" s="116">
        <f t="shared" ref="G9:G57" si="21">F9-C9</f>
        <v>0</v>
      </c>
      <c r="H9" s="114"/>
      <c r="I9" s="114">
        <v>637</v>
      </c>
      <c r="J9" s="114">
        <v>0</v>
      </c>
      <c r="K9" s="131">
        <v>0</v>
      </c>
      <c r="L9" s="151">
        <f>W9+X9</f>
        <v>0</v>
      </c>
      <c r="M9" s="65">
        <f t="shared" si="19"/>
        <v>0</v>
      </c>
      <c r="N9" s="65">
        <v>0</v>
      </c>
      <c r="O9" s="65"/>
      <c r="P9" s="65"/>
      <c r="Q9" s="151">
        <f>Y9+Z9</f>
        <v>0</v>
      </c>
      <c r="R9" s="151"/>
      <c r="S9" s="151">
        <f>AA9+AB9</f>
        <v>0</v>
      </c>
      <c r="T9" s="151"/>
      <c r="U9" s="151"/>
      <c r="V9" s="169"/>
      <c r="W9" s="63"/>
      <c r="X9" s="111"/>
      <c r="Y9" s="63"/>
      <c r="Z9" s="105"/>
      <c r="AA9" s="63"/>
      <c r="AB9" s="105"/>
    </row>
    <row r="10" spans="1:28" ht="15.6" customHeight="1">
      <c r="A10" s="134" t="s">
        <v>37</v>
      </c>
      <c r="B10" s="136" t="s">
        <v>25</v>
      </c>
      <c r="C10" s="16">
        <f t="shared" ref="C10:J10" si="22">SUM(C11:C24)</f>
        <v>99365.099999999991</v>
      </c>
      <c r="D10" s="16">
        <f t="shared" si="22"/>
        <v>0</v>
      </c>
      <c r="E10" s="16">
        <f t="shared" si="22"/>
        <v>99365090.670000002</v>
      </c>
      <c r="F10" s="16">
        <f t="shared" si="22"/>
        <v>66849.586620000002</v>
      </c>
      <c r="G10" s="16">
        <f t="shared" si="22"/>
        <v>8.6620000003062358E-2</v>
      </c>
      <c r="H10" s="16">
        <f t="shared" si="22"/>
        <v>0</v>
      </c>
      <c r="I10" s="16">
        <f>SUM(I11:I24)</f>
        <v>59336</v>
      </c>
      <c r="J10" s="16">
        <f t="shared" si="22"/>
        <v>0</v>
      </c>
      <c r="K10" s="130">
        <v>0</v>
      </c>
      <c r="L10" s="137">
        <f>SUM(L11:L24)</f>
        <v>88311273.670000002</v>
      </c>
      <c r="M10" s="137">
        <f t="shared" ref="M10:U10" si="23">SUM(M11:M24)</f>
        <v>88301273.670000002</v>
      </c>
      <c r="N10" s="137">
        <f t="shared" si="23"/>
        <v>2</v>
      </c>
      <c r="O10" s="137"/>
      <c r="P10" s="137"/>
      <c r="Q10" s="137">
        <f t="shared" si="23"/>
        <v>91677160.789999992</v>
      </c>
      <c r="R10" s="137">
        <f t="shared" si="23"/>
        <v>0</v>
      </c>
      <c r="S10" s="137">
        <f t="shared" si="23"/>
        <v>119977858.12000002</v>
      </c>
      <c r="T10" s="137">
        <f>SUM(T11:T24)</f>
        <v>0</v>
      </c>
      <c r="U10" s="137">
        <f t="shared" si="23"/>
        <v>0</v>
      </c>
      <c r="V10" s="169"/>
      <c r="W10" s="110">
        <f>SUM(W11:W24)</f>
        <v>56230065.039999999</v>
      </c>
      <c r="X10" s="110">
        <f>SUM(X11:X24)</f>
        <v>32081208.629999999</v>
      </c>
      <c r="Y10" s="26">
        <f t="shared" ref="Y10:AB10" si="24">SUM(Y11:Y24)</f>
        <v>51023698.919999994</v>
      </c>
      <c r="Z10" s="110">
        <f t="shared" si="24"/>
        <v>40653461.869999997</v>
      </c>
      <c r="AA10" s="26">
        <f t="shared" si="24"/>
        <v>76755184.879999995</v>
      </c>
      <c r="AB10" s="110">
        <f t="shared" si="24"/>
        <v>43222673.240000002</v>
      </c>
    </row>
    <row r="11" spans="1:28" ht="37.15" customHeight="1">
      <c r="A11" s="115" t="s">
        <v>66</v>
      </c>
      <c r="B11" s="30" t="s">
        <v>19</v>
      </c>
      <c r="C11" s="16">
        <v>29411</v>
      </c>
      <c r="D11" s="16"/>
      <c r="E11" s="25">
        <v>29411000</v>
      </c>
      <c r="F11" s="116">
        <f t="shared" si="20"/>
        <v>29411</v>
      </c>
      <c r="G11" s="116">
        <f t="shared" si="21"/>
        <v>0</v>
      </c>
      <c r="H11" s="114"/>
      <c r="I11" s="114">
        <v>23860</v>
      </c>
      <c r="J11" s="114"/>
      <c r="K11" s="131">
        <v>0</v>
      </c>
      <c r="L11" s="151">
        <f t="shared" ref="L11:L23" si="25">W11+X11</f>
        <v>23000000</v>
      </c>
      <c r="M11" s="65">
        <f t="shared" ref="M11:M35" si="26">L11-K11</f>
        <v>23000000</v>
      </c>
      <c r="N11" s="65">
        <v>0</v>
      </c>
      <c r="O11" s="65"/>
      <c r="P11" s="65"/>
      <c r="Q11" s="151">
        <f t="shared" ref="Q11:Q23" si="27">Y11+Z11</f>
        <v>30000000</v>
      </c>
      <c r="R11" s="151"/>
      <c r="S11" s="151">
        <f t="shared" ref="S11:S23" si="28">AA11+AB11</f>
        <v>30000000</v>
      </c>
      <c r="T11" s="151"/>
      <c r="U11" s="151"/>
      <c r="V11" s="169">
        <v>905</v>
      </c>
      <c r="W11" s="63"/>
      <c r="X11" s="111">
        <v>23000000</v>
      </c>
      <c r="Y11" s="63"/>
      <c r="Z11" s="111">
        <v>30000000</v>
      </c>
      <c r="AA11" s="63"/>
      <c r="AB11" s="111">
        <v>30000000</v>
      </c>
    </row>
    <row r="12" spans="1:28" ht="27" customHeight="1">
      <c r="A12" s="115" t="s">
        <v>118</v>
      </c>
      <c r="B12" s="30" t="s">
        <v>119</v>
      </c>
      <c r="C12" s="16"/>
      <c r="D12" s="16"/>
      <c r="E12" s="25"/>
      <c r="F12" s="116"/>
      <c r="G12" s="116"/>
      <c r="H12" s="114"/>
      <c r="I12" s="114">
        <v>0</v>
      </c>
      <c r="J12" s="114"/>
      <c r="K12" s="131">
        <v>0</v>
      </c>
      <c r="L12" s="151">
        <f t="shared" si="25"/>
        <v>0</v>
      </c>
      <c r="M12" s="65">
        <f t="shared" si="26"/>
        <v>0</v>
      </c>
      <c r="N12" s="65">
        <v>0</v>
      </c>
      <c r="O12" s="65"/>
      <c r="P12" s="65"/>
      <c r="Q12" s="151">
        <f t="shared" si="27"/>
        <v>1471000</v>
      </c>
      <c r="R12" s="151"/>
      <c r="S12" s="151">
        <f t="shared" si="28"/>
        <v>2500000</v>
      </c>
      <c r="T12" s="151"/>
      <c r="U12" s="151"/>
      <c r="V12" s="169">
        <v>905</v>
      </c>
      <c r="W12" s="63"/>
      <c r="X12" s="151"/>
      <c r="Y12" s="63"/>
      <c r="Z12" s="151">
        <v>1471000</v>
      </c>
      <c r="AA12" s="63"/>
      <c r="AB12" s="151">
        <v>2500000</v>
      </c>
    </row>
    <row r="13" spans="1:28" ht="90" hidden="1" customHeight="1">
      <c r="A13" s="115" t="s">
        <v>51</v>
      </c>
      <c r="B13" s="117" t="s">
        <v>52</v>
      </c>
      <c r="C13" s="16">
        <v>30453.9</v>
      </c>
      <c r="D13" s="16"/>
      <c r="E13" s="25">
        <v>30453878.91</v>
      </c>
      <c r="F13" s="116"/>
      <c r="G13" s="116"/>
      <c r="H13" s="114"/>
      <c r="I13" s="114"/>
      <c r="J13" s="114"/>
      <c r="K13" s="131"/>
      <c r="L13" s="151">
        <f t="shared" si="25"/>
        <v>0</v>
      </c>
      <c r="M13" s="65">
        <f t="shared" si="26"/>
        <v>0</v>
      </c>
      <c r="N13" s="65">
        <v>0</v>
      </c>
      <c r="O13" s="65"/>
      <c r="P13" s="65"/>
      <c r="Q13" s="151">
        <f t="shared" si="27"/>
        <v>0</v>
      </c>
      <c r="R13" s="151"/>
      <c r="S13" s="151">
        <f t="shared" si="28"/>
        <v>0</v>
      </c>
      <c r="T13" s="151"/>
      <c r="U13" s="151"/>
      <c r="V13" s="169"/>
      <c r="W13" s="63"/>
      <c r="X13" s="105"/>
      <c r="Y13" s="63"/>
      <c r="Z13" s="105"/>
      <c r="AA13" s="63"/>
      <c r="AB13" s="105"/>
    </row>
    <row r="14" spans="1:28" ht="69.599999999999994" hidden="1" customHeight="1">
      <c r="A14" s="115"/>
      <c r="B14" s="117" t="s">
        <v>54</v>
      </c>
      <c r="C14" s="16">
        <v>212.2</v>
      </c>
      <c r="D14" s="16"/>
      <c r="E14" s="25">
        <v>212168.14</v>
      </c>
      <c r="F14" s="116"/>
      <c r="G14" s="116"/>
      <c r="H14" s="114"/>
      <c r="I14" s="114"/>
      <c r="J14" s="114"/>
      <c r="K14" s="131"/>
      <c r="L14" s="151">
        <f t="shared" si="25"/>
        <v>0</v>
      </c>
      <c r="M14" s="65">
        <f t="shared" si="26"/>
        <v>0</v>
      </c>
      <c r="N14" s="65">
        <v>0</v>
      </c>
      <c r="O14" s="65"/>
      <c r="P14" s="65"/>
      <c r="Q14" s="151">
        <f t="shared" si="27"/>
        <v>0</v>
      </c>
      <c r="R14" s="151"/>
      <c r="S14" s="151">
        <f t="shared" si="28"/>
        <v>0</v>
      </c>
      <c r="T14" s="151"/>
      <c r="U14" s="151"/>
      <c r="V14" s="169"/>
      <c r="W14" s="63"/>
      <c r="X14" s="105"/>
      <c r="Y14" s="63"/>
      <c r="Z14" s="105"/>
      <c r="AA14" s="63"/>
      <c r="AB14" s="105"/>
    </row>
    <row r="15" spans="1:28" ht="25.9" customHeight="1">
      <c r="A15" s="115" t="s">
        <v>68</v>
      </c>
      <c r="B15" s="118" t="s">
        <v>69</v>
      </c>
      <c r="C15" s="25"/>
      <c r="D15" s="25"/>
      <c r="E15" s="25"/>
      <c r="F15" s="116"/>
      <c r="G15" s="116"/>
      <c r="H15" s="114"/>
      <c r="I15" s="114">
        <v>0</v>
      </c>
      <c r="J15" s="114"/>
      <c r="K15" s="131">
        <v>0</v>
      </c>
      <c r="L15" s="151">
        <f t="shared" si="25"/>
        <v>0</v>
      </c>
      <c r="M15" s="65">
        <f t="shared" si="26"/>
        <v>0</v>
      </c>
      <c r="N15" s="65">
        <v>0</v>
      </c>
      <c r="O15" s="65"/>
      <c r="P15" s="65"/>
      <c r="Q15" s="151">
        <f t="shared" si="27"/>
        <v>0</v>
      </c>
      <c r="R15" s="151"/>
      <c r="S15" s="151">
        <f t="shared" si="28"/>
        <v>11422109.99</v>
      </c>
      <c r="T15" s="151"/>
      <c r="U15" s="151"/>
      <c r="V15" s="169">
        <v>906</v>
      </c>
      <c r="W15" s="63"/>
      <c r="X15" s="105"/>
      <c r="Y15" s="63"/>
      <c r="Z15" s="105"/>
      <c r="AA15" s="77">
        <v>11307888.880000001</v>
      </c>
      <c r="AB15" s="148">
        <v>114221.11</v>
      </c>
    </row>
    <row r="16" spans="1:28" ht="40.15" customHeight="1">
      <c r="A16" s="115" t="s">
        <v>85</v>
      </c>
      <c r="B16" s="159" t="s">
        <v>99</v>
      </c>
      <c r="C16" s="16"/>
      <c r="D16" s="16"/>
      <c r="E16" s="25"/>
      <c r="F16" s="116"/>
      <c r="G16" s="116"/>
      <c r="H16" s="114"/>
      <c r="I16" s="114">
        <v>0</v>
      </c>
      <c r="J16" s="114"/>
      <c r="K16" s="131">
        <v>0</v>
      </c>
      <c r="L16" s="151">
        <f>W16+X16</f>
        <v>1002800</v>
      </c>
      <c r="M16" s="65">
        <f t="shared" si="26"/>
        <v>1002800</v>
      </c>
      <c r="N16" s="65">
        <v>0</v>
      </c>
      <c r="O16" s="65"/>
      <c r="P16" s="65"/>
      <c r="Q16" s="151">
        <f t="shared" si="27"/>
        <v>437200</v>
      </c>
      <c r="R16" s="151"/>
      <c r="S16" s="151">
        <f t="shared" si="28"/>
        <v>0</v>
      </c>
      <c r="T16" s="151"/>
      <c r="U16" s="151"/>
      <c r="V16" s="169">
        <v>905</v>
      </c>
      <c r="W16" s="77">
        <v>901800</v>
      </c>
      <c r="X16" s="148">
        <v>101000</v>
      </c>
      <c r="Y16" s="77">
        <v>393500</v>
      </c>
      <c r="Z16" s="148">
        <v>43700</v>
      </c>
      <c r="AA16" s="63"/>
      <c r="AB16" s="105"/>
    </row>
    <row r="17" spans="1:28" ht="40.15" customHeight="1">
      <c r="A17" s="115" t="s">
        <v>132</v>
      </c>
      <c r="B17" s="142" t="s">
        <v>133</v>
      </c>
      <c r="C17" s="16"/>
      <c r="D17" s="16"/>
      <c r="E17" s="25"/>
      <c r="F17" s="116"/>
      <c r="G17" s="116"/>
      <c r="H17" s="114"/>
      <c r="I17" s="114"/>
      <c r="J17" s="114"/>
      <c r="K17" s="131"/>
      <c r="L17" s="151">
        <f t="shared" ref="L17" si="29">W17+X17</f>
        <v>0</v>
      </c>
      <c r="M17" s="65">
        <f t="shared" ref="M17" si="30">L17-K17</f>
        <v>0</v>
      </c>
      <c r="N17" s="65">
        <v>1</v>
      </c>
      <c r="O17" s="65"/>
      <c r="P17" s="65"/>
      <c r="Q17" s="151">
        <f t="shared" ref="Q17" si="31">Y17+Z17</f>
        <v>0</v>
      </c>
      <c r="R17" s="151"/>
      <c r="S17" s="151">
        <f t="shared" ref="S17" si="32">AA17+AB17</f>
        <v>12000000</v>
      </c>
      <c r="T17" s="151"/>
      <c r="U17" s="151"/>
      <c r="V17" s="169">
        <v>906</v>
      </c>
      <c r="W17" s="63"/>
      <c r="X17" s="105"/>
      <c r="Y17" s="63"/>
      <c r="Z17" s="105"/>
      <c r="AA17" s="77">
        <v>11880000</v>
      </c>
      <c r="AB17" s="148">
        <v>120000</v>
      </c>
    </row>
    <row r="18" spans="1:28" ht="35.450000000000003" customHeight="1">
      <c r="A18" s="115" t="s">
        <v>112</v>
      </c>
      <c r="B18" s="136" t="s">
        <v>113</v>
      </c>
      <c r="C18" s="16"/>
      <c r="D18" s="16"/>
      <c r="E18" s="25"/>
      <c r="F18" s="116"/>
      <c r="G18" s="116"/>
      <c r="H18" s="114"/>
      <c r="I18" s="114"/>
      <c r="J18" s="114"/>
      <c r="K18" s="131">
        <v>0</v>
      </c>
      <c r="L18" s="151">
        <f t="shared" si="25"/>
        <v>38569434</v>
      </c>
      <c r="M18" s="65">
        <f t="shared" si="26"/>
        <v>38569434</v>
      </c>
      <c r="N18" s="65">
        <v>1</v>
      </c>
      <c r="O18" s="65"/>
      <c r="P18" s="65"/>
      <c r="Q18" s="151">
        <f t="shared" si="27"/>
        <v>36323037</v>
      </c>
      <c r="R18" s="151"/>
      <c r="S18" s="151">
        <f t="shared" si="28"/>
        <v>37343133</v>
      </c>
      <c r="T18" s="151"/>
      <c r="U18" s="151"/>
      <c r="V18" s="169">
        <v>906</v>
      </c>
      <c r="W18" s="77">
        <v>34712491</v>
      </c>
      <c r="X18" s="148">
        <v>3856943</v>
      </c>
      <c r="Y18" s="77">
        <v>32690733</v>
      </c>
      <c r="Z18" s="148">
        <v>3632304</v>
      </c>
      <c r="AA18" s="77">
        <v>33608820</v>
      </c>
      <c r="AB18" s="148">
        <v>3734313</v>
      </c>
    </row>
    <row r="19" spans="1:28" ht="28.9" customHeight="1">
      <c r="A19" s="119" t="s">
        <v>41</v>
      </c>
      <c r="B19" s="40" t="s">
        <v>70</v>
      </c>
      <c r="C19" s="25">
        <v>1770.5</v>
      </c>
      <c r="D19" s="25"/>
      <c r="E19" s="25">
        <v>1770457</v>
      </c>
      <c r="F19" s="116"/>
      <c r="G19" s="116"/>
      <c r="H19" s="114"/>
      <c r="I19" s="114">
        <v>2906</v>
      </c>
      <c r="J19" s="114"/>
      <c r="K19" s="131">
        <v>0</v>
      </c>
      <c r="L19" s="151">
        <f t="shared" si="25"/>
        <v>1337743.5999999999</v>
      </c>
      <c r="M19" s="65">
        <f t="shared" si="26"/>
        <v>1337743.5999999999</v>
      </c>
      <c r="N19" s="65">
        <v>0</v>
      </c>
      <c r="O19" s="65"/>
      <c r="P19" s="65"/>
      <c r="Q19" s="151">
        <f t="shared" si="27"/>
        <v>1380921.05</v>
      </c>
      <c r="R19" s="151"/>
      <c r="S19" s="151">
        <f t="shared" si="28"/>
        <v>1581166.04</v>
      </c>
      <c r="T19" s="151"/>
      <c r="U19" s="151"/>
      <c r="V19" s="169">
        <v>902</v>
      </c>
      <c r="W19" s="77">
        <v>1060634.92</v>
      </c>
      <c r="X19" s="148">
        <v>277108.68</v>
      </c>
      <c r="Y19" s="77">
        <v>1094794.05</v>
      </c>
      <c r="Z19" s="148">
        <v>286127</v>
      </c>
      <c r="AA19" s="77">
        <v>1250281.25</v>
      </c>
      <c r="AB19" s="148">
        <v>330884.78999999998</v>
      </c>
    </row>
    <row r="20" spans="1:28">
      <c r="A20" s="160" t="s">
        <v>38</v>
      </c>
      <c r="B20" s="144" t="s">
        <v>131</v>
      </c>
      <c r="C20" s="16">
        <v>19.2</v>
      </c>
      <c r="D20" s="16"/>
      <c r="E20" s="25">
        <v>19200</v>
      </c>
      <c r="F20" s="116">
        <f>E20/1000</f>
        <v>19.2</v>
      </c>
      <c r="G20" s="116">
        <f>F20-C20</f>
        <v>0</v>
      </c>
      <c r="H20" s="114"/>
      <c r="I20" s="114">
        <v>4024.2</v>
      </c>
      <c r="J20" s="114"/>
      <c r="K20" s="131">
        <v>0</v>
      </c>
      <c r="L20" s="151">
        <f t="shared" si="25"/>
        <v>8683217</v>
      </c>
      <c r="M20" s="65">
        <f t="shared" si="26"/>
        <v>8683217</v>
      </c>
      <c r="N20" s="65">
        <v>0</v>
      </c>
      <c r="O20" s="65"/>
      <c r="P20" s="65"/>
      <c r="Q20" s="151">
        <f>Y20+Z20</f>
        <v>80995</v>
      </c>
      <c r="R20" s="151"/>
      <c r="S20" s="151">
        <f t="shared" si="28"/>
        <v>80995</v>
      </c>
      <c r="T20" s="151"/>
      <c r="U20" s="151"/>
      <c r="V20" s="169">
        <v>907</v>
      </c>
      <c r="W20" s="77">
        <f>7742000+72896</f>
        <v>7814896</v>
      </c>
      <c r="X20" s="148">
        <f>860222+8099</f>
        <v>868321</v>
      </c>
      <c r="Y20" s="77">
        <v>72896</v>
      </c>
      <c r="Z20" s="148">
        <v>8099</v>
      </c>
      <c r="AA20" s="77">
        <v>72896</v>
      </c>
      <c r="AB20" s="148">
        <v>8099</v>
      </c>
    </row>
    <row r="21" spans="1:28" ht="86.45" hidden="1" customHeight="1">
      <c r="A21" s="115" t="s">
        <v>78</v>
      </c>
      <c r="B21" s="118" t="s">
        <v>125</v>
      </c>
      <c r="C21" s="25">
        <v>10592.8</v>
      </c>
      <c r="D21" s="25"/>
      <c r="E21" s="25">
        <v>10592830</v>
      </c>
      <c r="F21" s="116">
        <f>E21/1000</f>
        <v>10592.83</v>
      </c>
      <c r="G21" s="116">
        <f>F21-C21</f>
        <v>3.0000000000654836E-2</v>
      </c>
      <c r="H21" s="114"/>
      <c r="I21" s="114">
        <v>5000</v>
      </c>
      <c r="J21" s="114"/>
      <c r="K21" s="131">
        <v>10000</v>
      </c>
      <c r="L21" s="151">
        <f t="shared" si="25"/>
        <v>0</v>
      </c>
      <c r="M21" s="65">
        <f t="shared" si="26"/>
        <v>-10000</v>
      </c>
      <c r="N21" s="65">
        <v>0</v>
      </c>
      <c r="O21" s="65"/>
      <c r="P21" s="65"/>
      <c r="Q21" s="151">
        <f t="shared" si="27"/>
        <v>0</v>
      </c>
      <c r="R21" s="151"/>
      <c r="S21" s="151">
        <f t="shared" si="28"/>
        <v>0</v>
      </c>
      <c r="T21" s="151"/>
      <c r="U21" s="151"/>
      <c r="V21" s="169" t="s">
        <v>61</v>
      </c>
      <c r="W21" s="63"/>
      <c r="X21" s="105"/>
      <c r="Y21" s="63"/>
      <c r="Z21" s="105"/>
      <c r="AA21" s="63"/>
      <c r="AB21" s="105"/>
    </row>
    <row r="22" spans="1:28" ht="21.6" customHeight="1">
      <c r="A22" s="160" t="s">
        <v>39</v>
      </c>
      <c r="B22" s="30" t="s">
        <v>59</v>
      </c>
      <c r="C22" s="25">
        <v>19852.8</v>
      </c>
      <c r="D22" s="25"/>
      <c r="E22" s="25">
        <v>19852840.23</v>
      </c>
      <c r="F22" s="116">
        <f t="shared" si="20"/>
        <v>19852.840230000002</v>
      </c>
      <c r="G22" s="116">
        <f t="shared" si="21"/>
        <v>4.0230000002338784E-2</v>
      </c>
      <c r="H22" s="114"/>
      <c r="I22" s="114">
        <v>17176</v>
      </c>
      <c r="J22" s="114"/>
      <c r="K22" s="131">
        <v>0</v>
      </c>
      <c r="L22" s="151">
        <f t="shared" si="25"/>
        <v>11858831.43</v>
      </c>
      <c r="M22" s="65">
        <f t="shared" si="26"/>
        <v>11858831.43</v>
      </c>
      <c r="N22" s="65">
        <v>0</v>
      </c>
      <c r="O22" s="65"/>
      <c r="P22" s="65"/>
      <c r="Q22" s="151">
        <f>Y22+Z22</f>
        <v>16941187.739999998</v>
      </c>
      <c r="R22" s="151"/>
      <c r="S22" s="151">
        <f t="shared" si="28"/>
        <v>18823534.09</v>
      </c>
      <c r="T22" s="151"/>
      <c r="U22" s="151"/>
      <c r="V22" s="169">
        <v>905</v>
      </c>
      <c r="W22" s="157">
        <v>11740243.119999999</v>
      </c>
      <c r="X22" s="148">
        <v>118588.31</v>
      </c>
      <c r="Y22" s="77">
        <v>16771775.869999999</v>
      </c>
      <c r="Z22" s="148">
        <v>169411.87</v>
      </c>
      <c r="AA22" s="77">
        <v>18635298.75</v>
      </c>
      <c r="AB22" s="148">
        <v>188235.34</v>
      </c>
    </row>
    <row r="23" spans="1:28" ht="24.75" hidden="1">
      <c r="A23" s="119" t="s">
        <v>40</v>
      </c>
      <c r="B23" s="120" t="s">
        <v>24</v>
      </c>
      <c r="C23" s="25"/>
      <c r="D23" s="25"/>
      <c r="E23" s="25"/>
      <c r="F23" s="116">
        <f t="shared" si="20"/>
        <v>0</v>
      </c>
      <c r="G23" s="116">
        <f t="shared" si="21"/>
        <v>0</v>
      </c>
      <c r="H23" s="114"/>
      <c r="I23" s="114"/>
      <c r="J23" s="114"/>
      <c r="K23" s="131">
        <v>0</v>
      </c>
      <c r="L23" s="151">
        <f t="shared" si="25"/>
        <v>0</v>
      </c>
      <c r="M23" s="65">
        <f t="shared" si="26"/>
        <v>0</v>
      </c>
      <c r="N23" s="65">
        <v>0</v>
      </c>
      <c r="O23" s="65"/>
      <c r="P23" s="65"/>
      <c r="Q23" s="151">
        <f t="shared" si="27"/>
        <v>0</v>
      </c>
      <c r="R23" s="151"/>
      <c r="S23" s="151">
        <f t="shared" si="28"/>
        <v>0</v>
      </c>
      <c r="T23" s="151"/>
      <c r="U23" s="151"/>
      <c r="V23" s="169"/>
      <c r="W23" s="63"/>
      <c r="X23" s="105"/>
      <c r="Y23" s="63"/>
      <c r="Z23" s="105"/>
      <c r="AA23" s="63"/>
      <c r="AB23" s="105"/>
    </row>
    <row r="24" spans="1:28">
      <c r="A24" s="162" t="s">
        <v>42</v>
      </c>
      <c r="B24" s="30" t="s">
        <v>20</v>
      </c>
      <c r="C24" s="25">
        <f>C25+C26+C29+C31+C32+C27+C30+C33+C34+C35</f>
        <v>7052.7</v>
      </c>
      <c r="D24" s="25">
        <f>D25+D26+D29+D31+D32+D27+D30+D33+D34+D35</f>
        <v>0</v>
      </c>
      <c r="E24" s="25">
        <f>E25+E26+E29+E31+E32+E27+E30+E33+E34+E35</f>
        <v>7052716.3899999997</v>
      </c>
      <c r="F24" s="25">
        <f>F25+F26+F29+F31+F32+F27+F30+F33+F34+F35</f>
        <v>6973.7163900000005</v>
      </c>
      <c r="G24" s="25">
        <f>G25+G26+G29+G31+G32+G27+G30+G33+G34+G35</f>
        <v>1.6390000000068738E-2</v>
      </c>
      <c r="H24" s="16">
        <f t="shared" ref="H24:N24" si="33">SUM(H25:H35)</f>
        <v>0</v>
      </c>
      <c r="I24" s="16">
        <f t="shared" si="33"/>
        <v>6369.8</v>
      </c>
      <c r="J24" s="16">
        <f t="shared" si="33"/>
        <v>0</v>
      </c>
      <c r="K24" s="130">
        <f t="shared" si="33"/>
        <v>0</v>
      </c>
      <c r="L24" s="137">
        <f t="shared" si="33"/>
        <v>3859247.64</v>
      </c>
      <c r="M24" s="65">
        <f t="shared" si="26"/>
        <v>3859247.64</v>
      </c>
      <c r="N24" s="32">
        <f t="shared" si="33"/>
        <v>0</v>
      </c>
      <c r="O24" s="32"/>
      <c r="P24" s="32"/>
      <c r="Q24" s="137">
        <f>SUM(Q25:Q35)</f>
        <v>5042820</v>
      </c>
      <c r="R24" s="137">
        <f t="shared" ref="R24:U24" si="34">SUM(R25:R35)</f>
        <v>0</v>
      </c>
      <c r="S24" s="137">
        <f t="shared" si="34"/>
        <v>6226920</v>
      </c>
      <c r="T24" s="137">
        <f t="shared" si="34"/>
        <v>0</v>
      </c>
      <c r="U24" s="137">
        <f t="shared" si="34"/>
        <v>0</v>
      </c>
      <c r="V24" s="169"/>
      <c r="W24" s="110">
        <f t="shared" ref="W24:AB24" si="35">SUM(W25:W35)</f>
        <v>0</v>
      </c>
      <c r="X24" s="110">
        <f t="shared" si="35"/>
        <v>3859247.64</v>
      </c>
      <c r="Y24" s="28">
        <f t="shared" si="35"/>
        <v>0</v>
      </c>
      <c r="Z24" s="110">
        <f t="shared" si="35"/>
        <v>5042820</v>
      </c>
      <c r="AA24" s="28">
        <f t="shared" si="35"/>
        <v>0</v>
      </c>
      <c r="AB24" s="110">
        <f t="shared" si="35"/>
        <v>6226920</v>
      </c>
    </row>
    <row r="25" spans="1:28" ht="14.45" customHeight="1">
      <c r="A25" s="134"/>
      <c r="B25" s="30" t="s">
        <v>21</v>
      </c>
      <c r="C25" s="25">
        <f>3236+2126</f>
        <v>5362</v>
      </c>
      <c r="D25" s="25"/>
      <c r="E25" s="25">
        <f>3236000+2126000</f>
        <v>5362000</v>
      </c>
      <c r="F25" s="116">
        <f t="shared" si="20"/>
        <v>5362</v>
      </c>
      <c r="G25" s="116">
        <f t="shared" si="21"/>
        <v>0</v>
      </c>
      <c r="H25" s="114"/>
      <c r="I25" s="114">
        <v>5412</v>
      </c>
      <c r="J25" s="114"/>
      <c r="K25" s="131">
        <v>0</v>
      </c>
      <c r="L25" s="151">
        <f t="shared" ref="L25:L35" si="36">W25+X25</f>
        <v>1173820</v>
      </c>
      <c r="M25" s="65">
        <f t="shared" si="26"/>
        <v>1173820</v>
      </c>
      <c r="N25" s="65">
        <v>0</v>
      </c>
      <c r="O25" s="65"/>
      <c r="P25" s="65"/>
      <c r="Q25" s="151">
        <f>Y25+Z25</f>
        <v>1173820</v>
      </c>
      <c r="R25" s="151"/>
      <c r="S25" s="151">
        <f t="shared" ref="S25:S35" si="37">AA25+AB25</f>
        <v>1173820</v>
      </c>
      <c r="T25" s="151"/>
      <c r="U25" s="151"/>
      <c r="V25" s="169">
        <v>906</v>
      </c>
      <c r="W25" s="63">
        <v>0</v>
      </c>
      <c r="X25" s="147">
        <v>1173820</v>
      </c>
      <c r="Y25" s="77"/>
      <c r="Z25" s="147">
        <v>1173820</v>
      </c>
      <c r="AA25" s="77"/>
      <c r="AB25" s="147">
        <v>1173820</v>
      </c>
    </row>
    <row r="26" spans="1:28" ht="16.149999999999999" customHeight="1">
      <c r="A26" s="134"/>
      <c r="B26" s="30" t="s">
        <v>123</v>
      </c>
      <c r="C26" s="25">
        <v>500</v>
      </c>
      <c r="D26" s="25"/>
      <c r="E26" s="25">
        <v>500000</v>
      </c>
      <c r="F26" s="116">
        <f t="shared" si="20"/>
        <v>500</v>
      </c>
      <c r="G26" s="116">
        <f t="shared" si="21"/>
        <v>0</v>
      </c>
      <c r="H26" s="114"/>
      <c r="I26" s="114">
        <v>543.79999999999995</v>
      </c>
      <c r="J26" s="114"/>
      <c r="K26" s="131">
        <v>0</v>
      </c>
      <c r="L26" s="151">
        <f t="shared" si="36"/>
        <v>1000000</v>
      </c>
      <c r="M26" s="65">
        <f t="shared" si="26"/>
        <v>1000000</v>
      </c>
      <c r="N26" s="65">
        <v>0</v>
      </c>
      <c r="O26" s="65"/>
      <c r="P26" s="65"/>
      <c r="Q26" s="151">
        <f t="shared" ref="Q26:Q35" si="38">Y26+Z26</f>
        <v>1700000</v>
      </c>
      <c r="R26" s="151"/>
      <c r="S26" s="151">
        <f t="shared" si="37"/>
        <v>2017000</v>
      </c>
      <c r="T26" s="151"/>
      <c r="U26" s="151"/>
      <c r="V26" s="169">
        <v>906</v>
      </c>
      <c r="W26" s="63"/>
      <c r="X26" s="111">
        <v>1000000</v>
      </c>
      <c r="Y26" s="63"/>
      <c r="Z26" s="111">
        <v>1700000</v>
      </c>
      <c r="AA26" s="63"/>
      <c r="AB26" s="111">
        <v>2017000</v>
      </c>
    </row>
    <row r="27" spans="1:28" ht="16.899999999999999" customHeight="1">
      <c r="A27" s="134"/>
      <c r="B27" s="40" t="s">
        <v>120</v>
      </c>
      <c r="C27" s="25"/>
      <c r="D27" s="25"/>
      <c r="E27" s="25"/>
      <c r="F27" s="116">
        <f t="shared" si="20"/>
        <v>0</v>
      </c>
      <c r="G27" s="116">
        <f t="shared" si="21"/>
        <v>0</v>
      </c>
      <c r="H27" s="114"/>
      <c r="I27" s="114"/>
      <c r="J27" s="114"/>
      <c r="K27" s="131">
        <v>0</v>
      </c>
      <c r="L27" s="151">
        <f t="shared" si="36"/>
        <v>0</v>
      </c>
      <c r="M27" s="65">
        <f t="shared" si="26"/>
        <v>0</v>
      </c>
      <c r="N27" s="65">
        <v>0</v>
      </c>
      <c r="O27" s="65"/>
      <c r="P27" s="65"/>
      <c r="Q27" s="151">
        <f t="shared" si="38"/>
        <v>0</v>
      </c>
      <c r="R27" s="151"/>
      <c r="S27" s="151">
        <f t="shared" si="37"/>
        <v>1767100</v>
      </c>
      <c r="T27" s="151"/>
      <c r="U27" s="151"/>
      <c r="V27" s="169">
        <v>905</v>
      </c>
      <c r="W27" s="63"/>
      <c r="X27" s="105"/>
      <c r="Y27" s="63"/>
      <c r="Z27" s="105"/>
      <c r="AA27" s="63"/>
      <c r="AB27" s="105">
        <v>1767100</v>
      </c>
    </row>
    <row r="28" spans="1:28" ht="24.75">
      <c r="A28" s="134"/>
      <c r="B28" s="121" t="s">
        <v>88</v>
      </c>
      <c r="C28" s="25"/>
      <c r="D28" s="25"/>
      <c r="E28" s="25"/>
      <c r="F28" s="116"/>
      <c r="G28" s="116"/>
      <c r="H28" s="114"/>
      <c r="I28" s="114"/>
      <c r="J28" s="114"/>
      <c r="K28" s="131">
        <v>0</v>
      </c>
      <c r="L28" s="151">
        <f t="shared" si="36"/>
        <v>1000000</v>
      </c>
      <c r="M28" s="65">
        <f t="shared" si="26"/>
        <v>1000000</v>
      </c>
      <c r="N28" s="65">
        <v>0</v>
      </c>
      <c r="O28" s="65"/>
      <c r="P28" s="65"/>
      <c r="Q28" s="151">
        <f t="shared" si="38"/>
        <v>1500000</v>
      </c>
      <c r="R28" s="151"/>
      <c r="S28" s="151">
        <f t="shared" si="37"/>
        <v>600000</v>
      </c>
      <c r="T28" s="151"/>
      <c r="U28" s="151"/>
      <c r="V28" s="169">
        <v>906</v>
      </c>
      <c r="W28" s="63"/>
      <c r="X28" s="105">
        <v>1000000</v>
      </c>
      <c r="Y28" s="63"/>
      <c r="Z28" s="111">
        <v>1500000</v>
      </c>
      <c r="AA28" s="63"/>
      <c r="AB28" s="111">
        <v>600000</v>
      </c>
    </row>
    <row r="29" spans="1:28" ht="15" customHeight="1">
      <c r="A29" s="134"/>
      <c r="B29" s="30" t="s">
        <v>89</v>
      </c>
      <c r="C29" s="25">
        <v>508.9</v>
      </c>
      <c r="D29" s="25"/>
      <c r="E29" s="25">
        <v>508947.39</v>
      </c>
      <c r="F29" s="116">
        <f t="shared" si="20"/>
        <v>508.94739000000004</v>
      </c>
      <c r="G29" s="116">
        <f t="shared" si="21"/>
        <v>4.7390000000063992E-2</v>
      </c>
      <c r="H29" s="114"/>
      <c r="I29" s="114">
        <v>111</v>
      </c>
      <c r="J29" s="114"/>
      <c r="K29" s="131">
        <v>0</v>
      </c>
      <c r="L29" s="151">
        <f t="shared" si="36"/>
        <v>109000</v>
      </c>
      <c r="M29" s="65">
        <f t="shared" si="26"/>
        <v>109000</v>
      </c>
      <c r="N29" s="65">
        <v>0</v>
      </c>
      <c r="O29" s="65"/>
      <c r="P29" s="65"/>
      <c r="Q29" s="151">
        <f t="shared" si="38"/>
        <v>109000</v>
      </c>
      <c r="R29" s="151"/>
      <c r="S29" s="151">
        <f t="shared" si="37"/>
        <v>109000</v>
      </c>
      <c r="T29" s="151"/>
      <c r="U29" s="151"/>
      <c r="V29" s="169">
        <v>902</v>
      </c>
      <c r="W29" s="63"/>
      <c r="X29" s="111">
        <v>109000</v>
      </c>
      <c r="Y29" s="63"/>
      <c r="Z29" s="111">
        <v>109000</v>
      </c>
      <c r="AA29" s="63"/>
      <c r="AB29" s="111">
        <v>109000</v>
      </c>
    </row>
    <row r="30" spans="1:28" ht="27.6" customHeight="1">
      <c r="A30" s="134"/>
      <c r="B30" s="30" t="s">
        <v>31</v>
      </c>
      <c r="C30" s="16">
        <v>31.3</v>
      </c>
      <c r="D30" s="16"/>
      <c r="E30" s="25">
        <v>31250</v>
      </c>
      <c r="F30" s="116">
        <f t="shared" si="20"/>
        <v>31.25</v>
      </c>
      <c r="G30" s="116">
        <f t="shared" si="21"/>
        <v>-5.0000000000000711E-2</v>
      </c>
      <c r="H30" s="114"/>
      <c r="I30" s="114">
        <v>32</v>
      </c>
      <c r="J30" s="114"/>
      <c r="K30" s="131">
        <v>0</v>
      </c>
      <c r="L30" s="151">
        <f t="shared" si="36"/>
        <v>105000</v>
      </c>
      <c r="M30" s="65">
        <f t="shared" si="26"/>
        <v>105000</v>
      </c>
      <c r="N30" s="65">
        <v>0</v>
      </c>
      <c r="O30" s="65"/>
      <c r="P30" s="65"/>
      <c r="Q30" s="151">
        <f t="shared" si="38"/>
        <v>105000</v>
      </c>
      <c r="R30" s="151"/>
      <c r="S30" s="151">
        <f t="shared" si="37"/>
        <v>105000</v>
      </c>
      <c r="T30" s="151"/>
      <c r="U30" s="151"/>
      <c r="V30" s="169">
        <v>902</v>
      </c>
      <c r="W30" s="63"/>
      <c r="X30" s="111">
        <v>105000</v>
      </c>
      <c r="Y30" s="63"/>
      <c r="Z30" s="111">
        <v>105000</v>
      </c>
      <c r="AA30" s="63"/>
      <c r="AB30" s="111">
        <v>105000</v>
      </c>
    </row>
    <row r="31" spans="1:28" ht="24">
      <c r="A31" s="134"/>
      <c r="B31" s="136" t="s">
        <v>28</v>
      </c>
      <c r="C31" s="16">
        <v>571.5</v>
      </c>
      <c r="D31" s="16"/>
      <c r="E31" s="25">
        <v>571519</v>
      </c>
      <c r="F31" s="116">
        <f t="shared" si="20"/>
        <v>571.51900000000001</v>
      </c>
      <c r="G31" s="116">
        <f t="shared" si="21"/>
        <v>1.9000000000005457E-2</v>
      </c>
      <c r="H31" s="114"/>
      <c r="I31" s="114">
        <v>271</v>
      </c>
      <c r="J31" s="114"/>
      <c r="K31" s="131">
        <v>0</v>
      </c>
      <c r="L31" s="151">
        <f t="shared" si="36"/>
        <v>455000</v>
      </c>
      <c r="M31" s="65">
        <f t="shared" si="26"/>
        <v>455000</v>
      </c>
      <c r="N31" s="65">
        <v>0</v>
      </c>
      <c r="O31" s="65"/>
      <c r="P31" s="65"/>
      <c r="Q31" s="151">
        <f t="shared" si="38"/>
        <v>455000</v>
      </c>
      <c r="R31" s="151"/>
      <c r="S31" s="151">
        <f t="shared" si="37"/>
        <v>455000</v>
      </c>
      <c r="T31" s="151"/>
      <c r="U31" s="151"/>
      <c r="V31" s="169">
        <v>902</v>
      </c>
      <c r="W31" s="63"/>
      <c r="X31" s="111">
        <v>455000</v>
      </c>
      <c r="Y31" s="63"/>
      <c r="Z31" s="111">
        <v>455000</v>
      </c>
      <c r="AA31" s="63"/>
      <c r="AB31" s="111">
        <v>455000</v>
      </c>
    </row>
    <row r="32" spans="1:28" ht="37.5" customHeight="1">
      <c r="A32" s="134"/>
      <c r="B32" s="145" t="s">
        <v>134</v>
      </c>
      <c r="C32" s="16"/>
      <c r="D32" s="16"/>
      <c r="E32" s="25"/>
      <c r="F32" s="116">
        <f t="shared" si="20"/>
        <v>0</v>
      </c>
      <c r="G32" s="116">
        <f t="shared" si="21"/>
        <v>0</v>
      </c>
      <c r="H32" s="114"/>
      <c r="I32" s="114"/>
      <c r="J32" s="114"/>
      <c r="K32" s="131"/>
      <c r="L32" s="151">
        <f t="shared" si="36"/>
        <v>16427.64</v>
      </c>
      <c r="M32" s="65">
        <f t="shared" si="26"/>
        <v>16427.64</v>
      </c>
      <c r="N32" s="65">
        <v>0</v>
      </c>
      <c r="O32" s="65"/>
      <c r="P32" s="65"/>
      <c r="Q32" s="151">
        <f t="shared" si="38"/>
        <v>0</v>
      </c>
      <c r="R32" s="151"/>
      <c r="S32" s="151">
        <f t="shared" si="37"/>
        <v>0</v>
      </c>
      <c r="T32" s="151"/>
      <c r="U32" s="151"/>
      <c r="V32" s="169">
        <v>907</v>
      </c>
      <c r="W32" s="63"/>
      <c r="X32" s="152">
        <v>16427.64</v>
      </c>
      <c r="Y32" s="63"/>
      <c r="Z32" s="105"/>
      <c r="AA32" s="63"/>
      <c r="AB32" s="152"/>
    </row>
    <row r="33" spans="1:28" ht="24" hidden="1">
      <c r="A33" s="134"/>
      <c r="B33" s="142" t="s">
        <v>32</v>
      </c>
      <c r="C33" s="16"/>
      <c r="D33" s="16"/>
      <c r="E33" s="25"/>
      <c r="F33" s="116">
        <f t="shared" si="20"/>
        <v>0</v>
      </c>
      <c r="G33" s="116">
        <f t="shared" si="21"/>
        <v>0</v>
      </c>
      <c r="H33" s="114"/>
      <c r="I33" s="114"/>
      <c r="J33" s="114"/>
      <c r="K33" s="131"/>
      <c r="L33" s="151">
        <f t="shared" si="36"/>
        <v>0</v>
      </c>
      <c r="M33" s="65">
        <f t="shared" si="26"/>
        <v>0</v>
      </c>
      <c r="N33" s="65">
        <v>0</v>
      </c>
      <c r="O33" s="65"/>
      <c r="P33" s="65"/>
      <c r="Q33" s="151">
        <f t="shared" si="38"/>
        <v>0</v>
      </c>
      <c r="R33" s="151"/>
      <c r="S33" s="151">
        <f t="shared" si="37"/>
        <v>0</v>
      </c>
      <c r="T33" s="151"/>
      <c r="U33" s="151"/>
      <c r="V33" s="169"/>
      <c r="W33" s="63"/>
      <c r="X33" s="105"/>
      <c r="Y33" s="63"/>
      <c r="Z33" s="105"/>
      <c r="AA33" s="63"/>
      <c r="AB33" s="105"/>
    </row>
    <row r="34" spans="1:28" ht="24" hidden="1">
      <c r="A34" s="134"/>
      <c r="B34" s="142" t="s">
        <v>33</v>
      </c>
      <c r="C34" s="16"/>
      <c r="D34" s="16"/>
      <c r="E34" s="25"/>
      <c r="F34" s="116">
        <f t="shared" si="20"/>
        <v>0</v>
      </c>
      <c r="G34" s="116">
        <f t="shared" si="21"/>
        <v>0</v>
      </c>
      <c r="H34" s="114"/>
      <c r="I34" s="114"/>
      <c r="J34" s="114"/>
      <c r="K34" s="131"/>
      <c r="L34" s="151">
        <f t="shared" si="36"/>
        <v>0</v>
      </c>
      <c r="M34" s="65">
        <f t="shared" si="26"/>
        <v>0</v>
      </c>
      <c r="N34" s="65">
        <v>0</v>
      </c>
      <c r="O34" s="65"/>
      <c r="P34" s="65"/>
      <c r="Q34" s="151">
        <f t="shared" si="38"/>
        <v>0</v>
      </c>
      <c r="R34" s="151"/>
      <c r="S34" s="151">
        <f t="shared" si="37"/>
        <v>0</v>
      </c>
      <c r="T34" s="151"/>
      <c r="U34" s="151"/>
      <c r="V34" s="169"/>
      <c r="W34" s="63"/>
      <c r="X34" s="105"/>
      <c r="Y34" s="63"/>
      <c r="Z34" s="105"/>
      <c r="AA34" s="63"/>
      <c r="AB34" s="105"/>
    </row>
    <row r="35" spans="1:28" ht="24" hidden="1">
      <c r="A35" s="134"/>
      <c r="B35" s="142" t="s">
        <v>50</v>
      </c>
      <c r="C35" s="16">
        <v>79</v>
      </c>
      <c r="D35" s="16"/>
      <c r="E35" s="25">
        <v>79000</v>
      </c>
      <c r="F35" s="116"/>
      <c r="G35" s="116"/>
      <c r="H35" s="114"/>
      <c r="I35" s="114"/>
      <c r="J35" s="114"/>
      <c r="K35" s="131"/>
      <c r="L35" s="151">
        <f t="shared" si="36"/>
        <v>0</v>
      </c>
      <c r="M35" s="65">
        <f t="shared" si="26"/>
        <v>0</v>
      </c>
      <c r="N35" s="65">
        <v>0</v>
      </c>
      <c r="O35" s="65"/>
      <c r="P35" s="65"/>
      <c r="Q35" s="151">
        <f t="shared" si="38"/>
        <v>0</v>
      </c>
      <c r="R35" s="151"/>
      <c r="S35" s="151">
        <f t="shared" si="37"/>
        <v>0</v>
      </c>
      <c r="T35" s="151"/>
      <c r="U35" s="151"/>
      <c r="V35" s="169"/>
      <c r="W35" s="63"/>
      <c r="X35" s="105"/>
      <c r="Y35" s="63"/>
      <c r="Z35" s="105"/>
      <c r="AA35" s="63"/>
      <c r="AB35" s="105"/>
    </row>
    <row r="36" spans="1:28" ht="16.899999999999999" customHeight="1">
      <c r="A36" s="134" t="s">
        <v>43</v>
      </c>
      <c r="B36" s="136" t="s">
        <v>3</v>
      </c>
      <c r="C36" s="133">
        <f>C37+C49+C50+C51+C52</f>
        <v>726424</v>
      </c>
      <c r="D36" s="133">
        <f>D37+D49+D50+D51+D52</f>
        <v>0</v>
      </c>
      <c r="E36" s="133">
        <f>E37+E49+E50+E51+E52</f>
        <v>726423994</v>
      </c>
      <c r="F36" s="133">
        <f>F37+F49+F50+F51+F52</f>
        <v>726423.99399999995</v>
      </c>
      <c r="G36" s="133">
        <f>G37+G49+G50+G51+G52</f>
        <v>-6.0000000003128662E-3</v>
      </c>
      <c r="H36" s="133">
        <f t="shared" ref="H36:N36" si="39">H37+H49+H50+H51+H52+H53</f>
        <v>608092</v>
      </c>
      <c r="I36" s="133">
        <f t="shared" si="39"/>
        <v>774941</v>
      </c>
      <c r="J36" s="133">
        <f t="shared" si="39"/>
        <v>696541</v>
      </c>
      <c r="K36" s="135">
        <f t="shared" si="39"/>
        <v>545714</v>
      </c>
      <c r="L36" s="138">
        <f t="shared" si="39"/>
        <v>813453800</v>
      </c>
      <c r="M36" s="138">
        <f t="shared" si="39"/>
        <v>812908086</v>
      </c>
      <c r="N36" s="138">
        <f t="shared" si="39"/>
        <v>417933</v>
      </c>
      <c r="O36" s="138"/>
      <c r="P36" s="138"/>
      <c r="Q36" s="138">
        <f>Q37+Q49+Q50+Q51+Q52+Q53</f>
        <v>853866400</v>
      </c>
      <c r="R36" s="138">
        <f>R37+R49+R50+R51+R52+R53</f>
        <v>964095000</v>
      </c>
      <c r="S36" s="138">
        <f t="shared" ref="S36:U36" si="40">S37+S49+S50+S51+S52+S53</f>
        <v>831231000</v>
      </c>
      <c r="T36" s="138">
        <f t="shared" si="40"/>
        <v>958094000</v>
      </c>
      <c r="U36" s="138">
        <f t="shared" si="40"/>
        <v>1038642000</v>
      </c>
      <c r="V36" s="169"/>
      <c r="W36" s="112">
        <f t="shared" ref="W36:AB36" si="41">W37+W49+W50+W51+W52+W53</f>
        <v>3473800</v>
      </c>
      <c r="X36" s="112">
        <f t="shared" si="41"/>
        <v>809980000</v>
      </c>
      <c r="Y36" s="149">
        <f t="shared" si="41"/>
        <v>5078400</v>
      </c>
      <c r="Z36" s="112">
        <f t="shared" si="41"/>
        <v>848788000</v>
      </c>
      <c r="AA36" s="149">
        <f t="shared" si="41"/>
        <v>5342000</v>
      </c>
      <c r="AB36" s="112">
        <f t="shared" si="41"/>
        <v>825889000</v>
      </c>
    </row>
    <row r="37" spans="1:28" ht="24.6" customHeight="1">
      <c r="A37" s="164" t="s">
        <v>44</v>
      </c>
      <c r="B37" s="165" t="s">
        <v>4</v>
      </c>
      <c r="C37" s="140">
        <f>SUM(C38:C48)</f>
        <v>691386</v>
      </c>
      <c r="D37" s="140">
        <f>SUM(D38:D48)</f>
        <v>0</v>
      </c>
      <c r="E37" s="143">
        <f>SUM(E38:E48)</f>
        <v>691386000</v>
      </c>
      <c r="F37" s="116">
        <f t="shared" si="20"/>
        <v>691386</v>
      </c>
      <c r="G37" s="116">
        <f>F37-C37</f>
        <v>0</v>
      </c>
      <c r="H37" s="140">
        <f t="shared" ref="H37:Q37" si="42">SUM(H38:H48)</f>
        <v>576319</v>
      </c>
      <c r="I37" s="140">
        <f t="shared" si="42"/>
        <v>739626</v>
      </c>
      <c r="J37" s="140">
        <f t="shared" si="42"/>
        <v>662922</v>
      </c>
      <c r="K37" s="141">
        <f t="shared" si="42"/>
        <v>510529</v>
      </c>
      <c r="L37" s="138">
        <f t="shared" si="42"/>
        <v>766653000</v>
      </c>
      <c r="M37" s="150">
        <f t="shared" si="42"/>
        <v>766142471</v>
      </c>
      <c r="N37" s="150">
        <f t="shared" si="42"/>
        <v>383394</v>
      </c>
      <c r="O37" s="166"/>
      <c r="P37" s="166"/>
      <c r="Q37" s="138">
        <f t="shared" si="42"/>
        <v>800982000</v>
      </c>
      <c r="R37" s="138">
        <f>SUM(R38:R48)</f>
        <v>918265000</v>
      </c>
      <c r="S37" s="138">
        <f t="shared" ref="S37:U37" si="43">SUM(S38:S48)</f>
        <v>777348000</v>
      </c>
      <c r="T37" s="138">
        <f t="shared" si="43"/>
        <v>877743000</v>
      </c>
      <c r="U37" s="138">
        <f t="shared" si="43"/>
        <v>957587000</v>
      </c>
      <c r="V37" s="170"/>
      <c r="W37" s="149">
        <f t="shared" ref="W37:AB37" si="44">SUM(W38:W48)</f>
        <v>0</v>
      </c>
      <c r="X37" s="112">
        <f t="shared" si="44"/>
        <v>766653000</v>
      </c>
      <c r="Y37" s="149">
        <f t="shared" si="44"/>
        <v>0</v>
      </c>
      <c r="Z37" s="112">
        <f t="shared" si="44"/>
        <v>800982000</v>
      </c>
      <c r="AA37" s="149">
        <f t="shared" si="44"/>
        <v>0</v>
      </c>
      <c r="AB37" s="112">
        <f t="shared" si="44"/>
        <v>777348000</v>
      </c>
    </row>
    <row r="38" spans="1:28" ht="50.45" customHeight="1">
      <c r="A38" s="171"/>
      <c r="B38" s="136" t="s">
        <v>5</v>
      </c>
      <c r="C38" s="122">
        <v>386036</v>
      </c>
      <c r="D38" s="123"/>
      <c r="E38" s="124">
        <v>386036000</v>
      </c>
      <c r="F38" s="116">
        <f t="shared" si="20"/>
        <v>386036</v>
      </c>
      <c r="G38" s="116">
        <f t="shared" si="21"/>
        <v>0</v>
      </c>
      <c r="H38" s="114">
        <v>334797</v>
      </c>
      <c r="I38" s="114">
        <v>430728</v>
      </c>
      <c r="J38" s="114">
        <v>385292</v>
      </c>
      <c r="K38" s="131">
        <v>300084</v>
      </c>
      <c r="L38" s="151">
        <f t="shared" ref="L38:L56" si="45">W38+X38</f>
        <v>427215000</v>
      </c>
      <c r="M38" s="65">
        <f t="shared" ref="M38:M56" si="46">L38-K38</f>
        <v>426914916</v>
      </c>
      <c r="N38" s="65">
        <v>224097</v>
      </c>
      <c r="O38" s="65"/>
      <c r="P38" s="65"/>
      <c r="Q38" s="151">
        <f t="shared" ref="Q38:Q56" si="47">Y38+Z38</f>
        <v>449375000</v>
      </c>
      <c r="R38" s="177">
        <v>536533000</v>
      </c>
      <c r="S38" s="151">
        <f>AA38+AB38</f>
        <v>410769000</v>
      </c>
      <c r="T38" s="177">
        <v>478484000</v>
      </c>
      <c r="U38" s="151">
        <v>543554000</v>
      </c>
      <c r="V38" s="169">
        <v>906</v>
      </c>
      <c r="W38" s="63"/>
      <c r="X38" s="146">
        <v>427215000</v>
      </c>
      <c r="Y38" s="63"/>
      <c r="Z38" s="147">
        <v>449375000</v>
      </c>
      <c r="AA38" s="63"/>
      <c r="AB38" s="147">
        <v>410769000</v>
      </c>
    </row>
    <row r="39" spans="1:28" ht="28.15" customHeight="1">
      <c r="A39" s="171"/>
      <c r="B39" s="136" t="s">
        <v>6</v>
      </c>
      <c r="C39" s="122">
        <v>295813</v>
      </c>
      <c r="D39" s="123"/>
      <c r="E39" s="124">
        <v>295813000</v>
      </c>
      <c r="F39" s="116">
        <f t="shared" si="20"/>
        <v>295813</v>
      </c>
      <c r="G39" s="116">
        <f t="shared" si="21"/>
        <v>0</v>
      </c>
      <c r="H39" s="114">
        <v>231806</v>
      </c>
      <c r="I39" s="114">
        <v>299172</v>
      </c>
      <c r="J39" s="114">
        <v>267660</v>
      </c>
      <c r="K39" s="131">
        <v>199795</v>
      </c>
      <c r="L39" s="151">
        <f t="shared" si="45"/>
        <v>326317000</v>
      </c>
      <c r="M39" s="65">
        <f t="shared" si="46"/>
        <v>326117205</v>
      </c>
      <c r="N39" s="65">
        <v>148579</v>
      </c>
      <c r="O39" s="65"/>
      <c r="P39" s="65"/>
      <c r="Q39" s="151">
        <f t="shared" si="47"/>
        <v>339524000</v>
      </c>
      <c r="R39" s="177">
        <v>362453000</v>
      </c>
      <c r="S39" s="151">
        <f t="shared" ref="S39:S58" si="48">AA39+AB39</f>
        <v>354418000</v>
      </c>
      <c r="T39" s="177">
        <v>379629000</v>
      </c>
      <c r="U39" s="151">
        <v>394020000</v>
      </c>
      <c r="V39" s="169">
        <v>906</v>
      </c>
      <c r="W39" s="63"/>
      <c r="X39" s="146">
        <v>326317000</v>
      </c>
      <c r="Y39" s="63"/>
      <c r="Z39" s="147">
        <v>339524000</v>
      </c>
      <c r="AA39" s="63"/>
      <c r="AB39" s="147">
        <v>354418000</v>
      </c>
    </row>
    <row r="40" spans="1:28" ht="25.15" customHeight="1">
      <c r="A40" s="171"/>
      <c r="B40" s="136" t="s">
        <v>7</v>
      </c>
      <c r="C40" s="122">
        <v>6199</v>
      </c>
      <c r="D40" s="123"/>
      <c r="E40" s="124">
        <v>6199000</v>
      </c>
      <c r="F40" s="116">
        <f t="shared" si="20"/>
        <v>6199</v>
      </c>
      <c r="G40" s="116">
        <f t="shared" si="21"/>
        <v>0</v>
      </c>
      <c r="H40" s="114">
        <v>6291</v>
      </c>
      <c r="I40" s="114">
        <v>6291</v>
      </c>
      <c r="J40" s="114">
        <v>6463</v>
      </c>
      <c r="K40" s="131">
        <v>5889</v>
      </c>
      <c r="L40" s="151">
        <f t="shared" si="45"/>
        <v>6515000</v>
      </c>
      <c r="M40" s="65">
        <f t="shared" si="46"/>
        <v>6509111</v>
      </c>
      <c r="N40" s="65">
        <v>5889</v>
      </c>
      <c r="O40" s="65"/>
      <c r="P40" s="65"/>
      <c r="Q40" s="151">
        <f t="shared" si="47"/>
        <v>6515000</v>
      </c>
      <c r="R40" s="177">
        <v>6958000</v>
      </c>
      <c r="S40" s="151">
        <f t="shared" si="48"/>
        <v>6515000</v>
      </c>
      <c r="T40" s="177">
        <v>6958000</v>
      </c>
      <c r="U40" s="151">
        <v>6958000</v>
      </c>
      <c r="V40" s="169">
        <v>906</v>
      </c>
      <c r="W40" s="63"/>
      <c r="X40" s="147">
        <v>6515000</v>
      </c>
      <c r="Y40" s="63"/>
      <c r="Z40" s="147">
        <v>6515000</v>
      </c>
      <c r="AA40" s="63"/>
      <c r="AB40" s="147">
        <v>6515000</v>
      </c>
    </row>
    <row r="41" spans="1:28" ht="24.6" customHeight="1">
      <c r="A41" s="171"/>
      <c r="B41" s="136" t="s">
        <v>8</v>
      </c>
      <c r="C41" s="122">
        <v>2</v>
      </c>
      <c r="D41" s="123"/>
      <c r="E41" s="124">
        <v>2000</v>
      </c>
      <c r="F41" s="116">
        <f t="shared" si="20"/>
        <v>2</v>
      </c>
      <c r="G41" s="116">
        <f t="shared" si="21"/>
        <v>0</v>
      </c>
      <c r="H41" s="114">
        <v>2</v>
      </c>
      <c r="I41" s="114">
        <v>2</v>
      </c>
      <c r="J41" s="114">
        <v>2</v>
      </c>
      <c r="K41" s="131">
        <v>2</v>
      </c>
      <c r="L41" s="151">
        <f t="shared" si="45"/>
        <v>2000</v>
      </c>
      <c r="M41" s="65">
        <f t="shared" si="46"/>
        <v>1998</v>
      </c>
      <c r="N41" s="65">
        <v>2</v>
      </c>
      <c r="O41" s="65"/>
      <c r="P41" s="65"/>
      <c r="Q41" s="151">
        <f t="shared" si="47"/>
        <v>2000</v>
      </c>
      <c r="R41" s="177">
        <v>2000</v>
      </c>
      <c r="S41" s="151">
        <f t="shared" si="48"/>
        <v>2000</v>
      </c>
      <c r="T41" s="177">
        <v>2000</v>
      </c>
      <c r="U41" s="151">
        <v>2000</v>
      </c>
      <c r="V41" s="169">
        <v>902</v>
      </c>
      <c r="W41" s="63"/>
      <c r="X41" s="147">
        <v>2000</v>
      </c>
      <c r="Y41" s="77"/>
      <c r="Z41" s="147">
        <v>2000</v>
      </c>
      <c r="AA41" s="77"/>
      <c r="AB41" s="147">
        <v>2000</v>
      </c>
    </row>
    <row r="42" spans="1:28" ht="27.6" customHeight="1">
      <c r="A42" s="171"/>
      <c r="B42" s="136" t="s">
        <v>9</v>
      </c>
      <c r="C42" s="122">
        <v>558</v>
      </c>
      <c r="D42" s="123"/>
      <c r="E42" s="124">
        <v>558000</v>
      </c>
      <c r="F42" s="116">
        <f t="shared" si="20"/>
        <v>558</v>
      </c>
      <c r="G42" s="116">
        <f t="shared" si="21"/>
        <v>0</v>
      </c>
      <c r="H42" s="114">
        <v>558</v>
      </c>
      <c r="I42" s="114">
        <v>558</v>
      </c>
      <c r="J42" s="114">
        <v>579</v>
      </c>
      <c r="K42" s="131">
        <v>570</v>
      </c>
      <c r="L42" s="151">
        <f t="shared" si="45"/>
        <v>641000</v>
      </c>
      <c r="M42" s="65">
        <f t="shared" si="46"/>
        <v>640430</v>
      </c>
      <c r="N42" s="65">
        <v>570</v>
      </c>
      <c r="O42" s="65"/>
      <c r="P42" s="65"/>
      <c r="Q42" s="151">
        <f t="shared" si="47"/>
        <v>641000</v>
      </c>
      <c r="R42" s="177">
        <v>686000</v>
      </c>
      <c r="S42" s="151">
        <f t="shared" si="48"/>
        <v>641000</v>
      </c>
      <c r="T42" s="177">
        <v>686000</v>
      </c>
      <c r="U42" s="151">
        <v>686000</v>
      </c>
      <c r="V42" s="169">
        <v>902</v>
      </c>
      <c r="W42" s="63"/>
      <c r="X42" s="147">
        <v>641000</v>
      </c>
      <c r="Y42" s="63"/>
      <c r="Z42" s="147">
        <v>641000</v>
      </c>
      <c r="AA42" s="147"/>
      <c r="AB42" s="147">
        <v>641000</v>
      </c>
    </row>
    <row r="43" spans="1:28" ht="48" customHeight="1">
      <c r="A43" s="171"/>
      <c r="B43" s="42" t="s">
        <v>143</v>
      </c>
      <c r="C43" s="122"/>
      <c r="D43" s="123"/>
      <c r="E43" s="124"/>
      <c r="F43" s="116"/>
      <c r="G43" s="116"/>
      <c r="H43" s="114"/>
      <c r="I43" s="114"/>
      <c r="J43" s="114"/>
      <c r="K43" s="131"/>
      <c r="L43" s="151"/>
      <c r="M43" s="65"/>
      <c r="N43" s="65"/>
      <c r="O43" s="65"/>
      <c r="P43" s="65"/>
      <c r="Q43" s="151"/>
      <c r="R43" s="177">
        <v>34000</v>
      </c>
      <c r="S43" s="151"/>
      <c r="T43" s="177">
        <v>34000</v>
      </c>
      <c r="U43" s="151">
        <v>34000</v>
      </c>
      <c r="V43" s="176">
        <v>905</v>
      </c>
      <c r="W43" s="63"/>
      <c r="X43" s="147"/>
      <c r="Y43" s="63"/>
      <c r="Z43" s="147"/>
      <c r="AA43" s="147"/>
      <c r="AB43" s="147"/>
    </row>
    <row r="44" spans="1:28" ht="27.6" customHeight="1">
      <c r="A44" s="171"/>
      <c r="B44" s="52" t="s">
        <v>142</v>
      </c>
      <c r="C44" s="122"/>
      <c r="D44" s="123"/>
      <c r="E44" s="124"/>
      <c r="F44" s="116"/>
      <c r="G44" s="116"/>
      <c r="H44" s="114"/>
      <c r="I44" s="114"/>
      <c r="J44" s="114"/>
      <c r="K44" s="131"/>
      <c r="L44" s="151"/>
      <c r="M44" s="65"/>
      <c r="N44" s="65"/>
      <c r="O44" s="65"/>
      <c r="P44" s="65"/>
      <c r="Q44" s="151"/>
      <c r="R44" s="177">
        <v>1396000</v>
      </c>
      <c r="S44" s="151"/>
      <c r="T44" s="177">
        <v>1396000</v>
      </c>
      <c r="U44" s="151">
        <v>1396000</v>
      </c>
      <c r="V44" s="176">
        <v>902</v>
      </c>
      <c r="W44" s="63"/>
      <c r="X44" s="147"/>
      <c r="Y44" s="63"/>
      <c r="Z44" s="147"/>
      <c r="AA44" s="147"/>
      <c r="AB44" s="147"/>
    </row>
    <row r="45" spans="1:28" ht="24" customHeight="1">
      <c r="A45" s="171"/>
      <c r="B45" s="136" t="s">
        <v>10</v>
      </c>
      <c r="C45" s="122">
        <v>1032</v>
      </c>
      <c r="D45" s="123"/>
      <c r="E45" s="124">
        <v>1032000</v>
      </c>
      <c r="F45" s="116">
        <f t="shared" si="20"/>
        <v>1032</v>
      </c>
      <c r="G45" s="116">
        <f t="shared" si="21"/>
        <v>0</v>
      </c>
      <c r="H45" s="114">
        <v>1037</v>
      </c>
      <c r="I45" s="114">
        <v>1037</v>
      </c>
      <c r="J45" s="114">
        <v>1076</v>
      </c>
      <c r="K45" s="131">
        <v>1054</v>
      </c>
      <c r="L45" s="151">
        <f t="shared" si="45"/>
        <v>1186000</v>
      </c>
      <c r="M45" s="65">
        <f t="shared" si="46"/>
        <v>1184946</v>
      </c>
      <c r="N45" s="65">
        <v>1054</v>
      </c>
      <c r="O45" s="65"/>
      <c r="P45" s="65"/>
      <c r="Q45" s="151">
        <f t="shared" si="47"/>
        <v>1186000</v>
      </c>
      <c r="R45" s="151"/>
      <c r="S45" s="151">
        <f t="shared" si="48"/>
        <v>1186000</v>
      </c>
      <c r="T45" s="151"/>
      <c r="U45" s="151"/>
      <c r="V45" s="169">
        <v>902</v>
      </c>
      <c r="W45" s="63"/>
      <c r="X45" s="147">
        <v>1186000</v>
      </c>
      <c r="Y45" s="63"/>
      <c r="Z45" s="147">
        <v>1186000</v>
      </c>
      <c r="AA45" s="63"/>
      <c r="AB45" s="147">
        <v>1186000</v>
      </c>
    </row>
    <row r="46" spans="1:28" ht="24" customHeight="1">
      <c r="A46" s="171"/>
      <c r="B46" s="136" t="s">
        <v>11</v>
      </c>
      <c r="C46" s="122">
        <v>542</v>
      </c>
      <c r="D46" s="123"/>
      <c r="E46" s="124">
        <v>542000</v>
      </c>
      <c r="F46" s="116">
        <f t="shared" si="20"/>
        <v>542</v>
      </c>
      <c r="G46" s="116">
        <f t="shared" si="21"/>
        <v>0</v>
      </c>
      <c r="H46" s="114">
        <v>542</v>
      </c>
      <c r="I46" s="114">
        <v>542</v>
      </c>
      <c r="J46" s="114">
        <v>564</v>
      </c>
      <c r="K46" s="131">
        <v>554</v>
      </c>
      <c r="L46" s="151">
        <f t="shared" si="45"/>
        <v>623000</v>
      </c>
      <c r="M46" s="65">
        <f t="shared" si="46"/>
        <v>622446</v>
      </c>
      <c r="N46" s="65">
        <v>554</v>
      </c>
      <c r="O46" s="65"/>
      <c r="P46" s="65"/>
      <c r="Q46" s="151">
        <f t="shared" si="47"/>
        <v>623000</v>
      </c>
      <c r="R46" s="177">
        <v>666000</v>
      </c>
      <c r="S46" s="151">
        <f t="shared" si="48"/>
        <v>623000</v>
      </c>
      <c r="T46" s="177">
        <v>666000</v>
      </c>
      <c r="U46" s="151">
        <v>666000</v>
      </c>
      <c r="V46" s="169">
        <v>902</v>
      </c>
      <c r="W46" s="63"/>
      <c r="X46" s="147">
        <v>623000</v>
      </c>
      <c r="Y46" s="63"/>
      <c r="Z46" s="147">
        <v>623000</v>
      </c>
      <c r="AA46" s="63"/>
      <c r="AB46" s="147">
        <v>623000</v>
      </c>
    </row>
    <row r="47" spans="1:28" ht="42" customHeight="1">
      <c r="A47" s="171"/>
      <c r="B47" s="136" t="s">
        <v>12</v>
      </c>
      <c r="C47" s="122">
        <v>762</v>
      </c>
      <c r="D47" s="123"/>
      <c r="E47" s="124">
        <v>762000</v>
      </c>
      <c r="F47" s="116">
        <f t="shared" si="20"/>
        <v>762</v>
      </c>
      <c r="G47" s="116">
        <f t="shared" si="21"/>
        <v>0</v>
      </c>
      <c r="H47" s="114">
        <v>778</v>
      </c>
      <c r="I47" s="114">
        <v>778</v>
      </c>
      <c r="J47" s="114">
        <v>778</v>
      </c>
      <c r="K47" s="131">
        <v>795</v>
      </c>
      <c r="L47" s="151">
        <f t="shared" si="45"/>
        <v>1160000</v>
      </c>
      <c r="M47" s="65">
        <f t="shared" si="46"/>
        <v>1159205</v>
      </c>
      <c r="N47" s="65">
        <v>795</v>
      </c>
      <c r="O47" s="65"/>
      <c r="P47" s="65"/>
      <c r="Q47" s="151">
        <f t="shared" si="47"/>
        <v>1160000</v>
      </c>
      <c r="R47" s="177">
        <v>1373000</v>
      </c>
      <c r="S47" s="151">
        <f t="shared" si="48"/>
        <v>1160000</v>
      </c>
      <c r="T47" s="177">
        <v>1373000</v>
      </c>
      <c r="U47" s="151">
        <v>1373000</v>
      </c>
      <c r="V47" s="169">
        <v>905</v>
      </c>
      <c r="W47" s="63"/>
      <c r="X47" s="147">
        <v>1160000</v>
      </c>
      <c r="Y47" s="63"/>
      <c r="Z47" s="147">
        <v>1160000</v>
      </c>
      <c r="AA47" s="77"/>
      <c r="AB47" s="147">
        <v>1160000</v>
      </c>
    </row>
    <row r="48" spans="1:28" ht="27.6" customHeight="1">
      <c r="A48" s="171" t="s">
        <v>136</v>
      </c>
      <c r="B48" s="136" t="s">
        <v>124</v>
      </c>
      <c r="C48" s="122">
        <v>442</v>
      </c>
      <c r="D48" s="123"/>
      <c r="E48" s="124">
        <v>442000</v>
      </c>
      <c r="F48" s="116">
        <f t="shared" si="20"/>
        <v>442</v>
      </c>
      <c r="G48" s="116">
        <f t="shared" si="21"/>
        <v>0</v>
      </c>
      <c r="H48" s="114">
        <v>508</v>
      </c>
      <c r="I48" s="114">
        <v>518</v>
      </c>
      <c r="J48" s="114">
        <v>508</v>
      </c>
      <c r="K48" s="131">
        <v>1786</v>
      </c>
      <c r="L48" s="151">
        <f t="shared" si="45"/>
        <v>2994000</v>
      </c>
      <c r="M48" s="65">
        <f t="shared" si="46"/>
        <v>2992214</v>
      </c>
      <c r="N48" s="65">
        <v>1854</v>
      </c>
      <c r="O48" s="65"/>
      <c r="P48" s="65"/>
      <c r="Q48" s="151">
        <f t="shared" si="47"/>
        <v>1956000</v>
      </c>
      <c r="R48" s="177">
        <v>8164000</v>
      </c>
      <c r="S48" s="151">
        <f t="shared" si="48"/>
        <v>2034000</v>
      </c>
      <c r="T48" s="177">
        <v>8515000</v>
      </c>
      <c r="U48" s="151">
        <v>8898000</v>
      </c>
      <c r="V48" s="169">
        <v>905</v>
      </c>
      <c r="W48" s="63"/>
      <c r="X48" s="146">
        <f>1883000+105000+1006000</f>
        <v>2994000</v>
      </c>
      <c r="Y48" s="63"/>
      <c r="Z48" s="146">
        <v>1956000</v>
      </c>
      <c r="AA48" s="77"/>
      <c r="AB48" s="146">
        <v>2034000</v>
      </c>
    </row>
    <row r="49" spans="1:28" ht="31.9" customHeight="1">
      <c r="A49" s="160" t="s">
        <v>45</v>
      </c>
      <c r="B49" s="136" t="s">
        <v>13</v>
      </c>
      <c r="C49" s="122">
        <v>25623</v>
      </c>
      <c r="D49" s="123"/>
      <c r="E49" s="124">
        <v>25623000</v>
      </c>
      <c r="F49" s="116">
        <f t="shared" si="20"/>
        <v>25623</v>
      </c>
      <c r="G49" s="116">
        <f t="shared" si="21"/>
        <v>0</v>
      </c>
      <c r="H49" s="114">
        <v>24886</v>
      </c>
      <c r="I49" s="114">
        <v>24886</v>
      </c>
      <c r="J49" s="114">
        <v>25882</v>
      </c>
      <c r="K49" s="131">
        <v>27714</v>
      </c>
      <c r="L49" s="151">
        <f t="shared" si="45"/>
        <v>28143000</v>
      </c>
      <c r="M49" s="65">
        <f t="shared" si="46"/>
        <v>28115286</v>
      </c>
      <c r="N49" s="65">
        <v>27714</v>
      </c>
      <c r="O49" s="65"/>
      <c r="P49" s="65"/>
      <c r="Q49" s="151">
        <f t="shared" si="47"/>
        <v>28143000</v>
      </c>
      <c r="R49" s="177">
        <v>29486000</v>
      </c>
      <c r="S49" s="151">
        <f t="shared" si="48"/>
        <v>28143000</v>
      </c>
      <c r="T49" s="177">
        <v>29486000</v>
      </c>
      <c r="U49" s="151">
        <v>29486000</v>
      </c>
      <c r="V49" s="169">
        <v>906</v>
      </c>
      <c r="W49" s="63"/>
      <c r="X49" s="148">
        <v>28143000</v>
      </c>
      <c r="Y49" s="63"/>
      <c r="Z49" s="148">
        <v>28143000</v>
      </c>
      <c r="AA49" s="63"/>
      <c r="AB49" s="148">
        <v>28143000</v>
      </c>
    </row>
    <row r="50" spans="1:28" ht="36.6" customHeight="1">
      <c r="A50" s="160" t="s">
        <v>46</v>
      </c>
      <c r="B50" s="136" t="s">
        <v>14</v>
      </c>
      <c r="C50" s="122">
        <v>3449</v>
      </c>
      <c r="D50" s="123"/>
      <c r="E50" s="124">
        <v>3449000</v>
      </c>
      <c r="F50" s="116">
        <f t="shared" si="20"/>
        <v>3449</v>
      </c>
      <c r="G50" s="116">
        <f t="shared" si="21"/>
        <v>0</v>
      </c>
      <c r="H50" s="114">
        <v>3673</v>
      </c>
      <c r="I50" s="114">
        <v>3673</v>
      </c>
      <c r="J50" s="114">
        <v>3673</v>
      </c>
      <c r="K50" s="131">
        <v>2329</v>
      </c>
      <c r="L50" s="151">
        <f t="shared" si="45"/>
        <v>5387000</v>
      </c>
      <c r="M50" s="65">
        <f t="shared" si="46"/>
        <v>5384671</v>
      </c>
      <c r="N50" s="65">
        <v>2329</v>
      </c>
      <c r="O50" s="65"/>
      <c r="P50" s="65"/>
      <c r="Q50" s="151">
        <f t="shared" si="47"/>
        <v>5387000</v>
      </c>
      <c r="R50" s="177">
        <v>4048000</v>
      </c>
      <c r="S50" s="151">
        <f t="shared" si="48"/>
        <v>5387000</v>
      </c>
      <c r="T50" s="177">
        <v>4048000</v>
      </c>
      <c r="U50" s="177">
        <v>4048000</v>
      </c>
      <c r="V50" s="169">
        <v>906</v>
      </c>
      <c r="W50" s="63"/>
      <c r="X50" s="147">
        <v>5387000</v>
      </c>
      <c r="Y50" s="63"/>
      <c r="Z50" s="147">
        <v>5387000</v>
      </c>
      <c r="AA50" s="63"/>
      <c r="AB50" s="147">
        <v>5387000</v>
      </c>
    </row>
    <row r="51" spans="1:28" ht="38.450000000000003" customHeight="1">
      <c r="A51" s="160" t="s">
        <v>47</v>
      </c>
      <c r="B51" s="136" t="s">
        <v>15</v>
      </c>
      <c r="C51" s="122">
        <v>5821</v>
      </c>
      <c r="D51" s="123"/>
      <c r="E51" s="124">
        <v>5820994</v>
      </c>
      <c r="F51" s="116">
        <f t="shared" si="20"/>
        <v>5820.9939999999997</v>
      </c>
      <c r="G51" s="116">
        <f t="shared" si="21"/>
        <v>-6.0000000003128662E-3</v>
      </c>
      <c r="H51" s="114">
        <v>3104</v>
      </c>
      <c r="I51" s="114">
        <f>3104+2580</f>
        <v>5684</v>
      </c>
      <c r="J51" s="114">
        <v>3954</v>
      </c>
      <c r="K51" s="131">
        <v>5031</v>
      </c>
      <c r="L51" s="151">
        <f t="shared" si="45"/>
        <v>13169800</v>
      </c>
      <c r="M51" s="65">
        <f t="shared" si="46"/>
        <v>13164769</v>
      </c>
      <c r="N51" s="65">
        <v>4385</v>
      </c>
      <c r="O51" s="65"/>
      <c r="P51" s="65"/>
      <c r="Q51" s="151">
        <f t="shared" si="47"/>
        <v>19253400</v>
      </c>
      <c r="R51" s="177">
        <v>12204000</v>
      </c>
      <c r="S51" s="151">
        <f t="shared" si="48"/>
        <v>20252000</v>
      </c>
      <c r="T51" s="177">
        <v>46725000</v>
      </c>
      <c r="U51" s="151">
        <v>47429000</v>
      </c>
      <c r="V51" s="169">
        <v>904</v>
      </c>
      <c r="W51" s="63">
        <v>3473800</v>
      </c>
      <c r="X51" s="148">
        <v>9696000</v>
      </c>
      <c r="Y51" s="63">
        <v>5078400</v>
      </c>
      <c r="Z51" s="148">
        <v>14175000</v>
      </c>
      <c r="AA51" s="63">
        <v>5342000</v>
      </c>
      <c r="AB51" s="148">
        <v>14910000</v>
      </c>
    </row>
    <row r="52" spans="1:28" ht="23.45" customHeight="1">
      <c r="A52" s="160" t="s">
        <v>48</v>
      </c>
      <c r="B52" s="136" t="s">
        <v>16</v>
      </c>
      <c r="C52" s="122">
        <v>145</v>
      </c>
      <c r="D52" s="123"/>
      <c r="E52" s="124">
        <v>145000</v>
      </c>
      <c r="F52" s="116">
        <f t="shared" si="20"/>
        <v>145</v>
      </c>
      <c r="G52" s="116">
        <f t="shared" si="21"/>
        <v>0</v>
      </c>
      <c r="H52" s="114">
        <v>110</v>
      </c>
      <c r="I52" s="114">
        <v>110</v>
      </c>
      <c r="J52" s="114">
        <v>110</v>
      </c>
      <c r="K52" s="131">
        <v>111</v>
      </c>
      <c r="L52" s="151">
        <f t="shared" si="45"/>
        <v>101000</v>
      </c>
      <c r="M52" s="65">
        <f t="shared" si="46"/>
        <v>100889</v>
      </c>
      <c r="N52" s="65">
        <v>111</v>
      </c>
      <c r="O52" s="65"/>
      <c r="P52" s="65"/>
      <c r="Q52" s="151">
        <f t="shared" si="47"/>
        <v>101000</v>
      </c>
      <c r="R52" s="177">
        <v>92000</v>
      </c>
      <c r="S52" s="151">
        <f t="shared" si="48"/>
        <v>101000</v>
      </c>
      <c r="T52" s="177">
        <v>92000</v>
      </c>
      <c r="U52" s="151">
        <v>92000</v>
      </c>
      <c r="V52" s="169">
        <v>907</v>
      </c>
      <c r="W52" s="63"/>
      <c r="X52" s="147">
        <v>101000</v>
      </c>
      <c r="Y52" s="63"/>
      <c r="Z52" s="147">
        <v>101000</v>
      </c>
      <c r="AA52" s="77"/>
      <c r="AB52" s="147">
        <v>101000</v>
      </c>
    </row>
    <row r="53" spans="1:28">
      <c r="A53" s="126" t="s">
        <v>65</v>
      </c>
      <c r="B53" s="127" t="s">
        <v>87</v>
      </c>
      <c r="C53" s="123"/>
      <c r="D53" s="123"/>
      <c r="E53" s="124"/>
      <c r="F53" s="116">
        <f t="shared" si="20"/>
        <v>0</v>
      </c>
      <c r="G53" s="116">
        <f t="shared" si="21"/>
        <v>0</v>
      </c>
      <c r="H53" s="114"/>
      <c r="I53" s="114">
        <v>962</v>
      </c>
      <c r="J53" s="114"/>
      <c r="K53" s="131">
        <v>0</v>
      </c>
      <c r="L53" s="151">
        <f t="shared" si="45"/>
        <v>0</v>
      </c>
      <c r="M53" s="65">
        <f t="shared" si="46"/>
        <v>0</v>
      </c>
      <c r="N53" s="65">
        <v>0</v>
      </c>
      <c r="O53" s="65"/>
      <c r="P53" s="65"/>
      <c r="Q53" s="151">
        <f t="shared" si="47"/>
        <v>0</v>
      </c>
      <c r="R53" s="151"/>
      <c r="S53" s="151">
        <f t="shared" si="48"/>
        <v>0</v>
      </c>
      <c r="T53" s="151"/>
      <c r="U53" s="151"/>
      <c r="V53" s="169" t="s">
        <v>61</v>
      </c>
      <c r="W53" s="63"/>
      <c r="X53" s="153"/>
      <c r="Y53" s="63"/>
      <c r="Z53" s="105"/>
      <c r="AA53" s="63"/>
      <c r="AB53" s="105"/>
    </row>
    <row r="54" spans="1:28" ht="24.75">
      <c r="A54" s="139" t="s">
        <v>128</v>
      </c>
      <c r="B54" s="139" t="s">
        <v>127</v>
      </c>
      <c r="C54" s="123"/>
      <c r="D54" s="123"/>
      <c r="E54" s="124"/>
      <c r="F54" s="116"/>
      <c r="G54" s="116"/>
      <c r="H54" s="114"/>
      <c r="I54" s="114"/>
      <c r="J54" s="114"/>
      <c r="K54" s="131"/>
      <c r="L54" s="151">
        <f t="shared" si="45"/>
        <v>37706000</v>
      </c>
      <c r="M54" s="67"/>
      <c r="N54" s="67"/>
      <c r="O54" s="67"/>
      <c r="P54" s="67"/>
      <c r="Q54" s="151">
        <f>Y54+Z54</f>
        <v>37303000</v>
      </c>
      <c r="R54" s="151"/>
      <c r="S54" s="151">
        <f t="shared" si="48"/>
        <v>39570000</v>
      </c>
      <c r="T54" s="151"/>
      <c r="U54" s="151"/>
      <c r="V54" s="169"/>
      <c r="W54" s="108">
        <f>W55</f>
        <v>37706000</v>
      </c>
      <c r="X54" s="108">
        <f t="shared" ref="X54:AB54" si="49">X55</f>
        <v>0</v>
      </c>
      <c r="Y54" s="108">
        <f t="shared" si="49"/>
        <v>37303000</v>
      </c>
      <c r="Z54" s="108">
        <f t="shared" si="49"/>
        <v>0</v>
      </c>
      <c r="AA54" s="108">
        <f t="shared" si="49"/>
        <v>39570000</v>
      </c>
      <c r="AB54" s="108">
        <f t="shared" si="49"/>
        <v>0</v>
      </c>
    </row>
    <row r="55" spans="1:28" ht="36.75">
      <c r="A55" s="161" t="s">
        <v>114</v>
      </c>
      <c r="B55" s="120" t="s">
        <v>126</v>
      </c>
      <c r="C55" s="123"/>
      <c r="D55" s="123"/>
      <c r="E55" s="124"/>
      <c r="F55" s="116"/>
      <c r="G55" s="116"/>
      <c r="H55" s="114"/>
      <c r="I55" s="114"/>
      <c r="J55" s="114"/>
      <c r="K55" s="131"/>
      <c r="L55" s="151">
        <f t="shared" si="45"/>
        <v>37706000</v>
      </c>
      <c r="M55" s="67"/>
      <c r="N55" s="67"/>
      <c r="O55" s="67"/>
      <c r="P55" s="67"/>
      <c r="Q55" s="151">
        <f t="shared" si="47"/>
        <v>37303000</v>
      </c>
      <c r="R55" s="151"/>
      <c r="S55" s="151">
        <f t="shared" si="48"/>
        <v>39570000</v>
      </c>
      <c r="T55" s="151"/>
      <c r="U55" s="151"/>
      <c r="V55" s="169">
        <v>906</v>
      </c>
      <c r="W55" s="108">
        <v>37706000</v>
      </c>
      <c r="X55" s="158"/>
      <c r="Y55" s="108">
        <v>37303000</v>
      </c>
      <c r="Z55" s="109"/>
      <c r="AA55" s="108">
        <v>39570000</v>
      </c>
      <c r="AB55" s="109"/>
    </row>
    <row r="56" spans="1:28" ht="24.75" hidden="1">
      <c r="A56" s="43" t="s">
        <v>73</v>
      </c>
      <c r="B56" s="44" t="s">
        <v>72</v>
      </c>
      <c r="C56" s="49"/>
      <c r="D56" s="49"/>
      <c r="E56" s="50"/>
      <c r="F56" s="51">
        <f t="shared" si="20"/>
        <v>0</v>
      </c>
      <c r="G56" s="51">
        <f t="shared" si="21"/>
        <v>0</v>
      </c>
      <c r="H56" s="61"/>
      <c r="I56" s="61"/>
      <c r="J56" s="61"/>
      <c r="K56" s="61">
        <v>1000</v>
      </c>
      <c r="L56" s="154">
        <f t="shared" si="45"/>
        <v>0</v>
      </c>
      <c r="M56" s="67">
        <f t="shared" si="46"/>
        <v>-1000</v>
      </c>
      <c r="N56" s="67">
        <v>0</v>
      </c>
      <c r="O56" s="67"/>
      <c r="P56" s="67"/>
      <c r="Q56" s="67">
        <f t="shared" si="47"/>
        <v>0</v>
      </c>
      <c r="R56" s="67"/>
      <c r="S56" s="151">
        <f t="shared" si="48"/>
        <v>0</v>
      </c>
      <c r="T56" s="174"/>
      <c r="U56" s="174"/>
      <c r="V56" s="6" t="s">
        <v>64</v>
      </c>
      <c r="W56" s="108"/>
      <c r="X56" s="109"/>
      <c r="Y56" s="108"/>
      <c r="Z56" s="109"/>
      <c r="AA56" s="108"/>
      <c r="AB56" s="109"/>
    </row>
    <row r="57" spans="1:28" hidden="1">
      <c r="A57" s="132" t="s">
        <v>49</v>
      </c>
      <c r="B57" s="10" t="s">
        <v>18</v>
      </c>
      <c r="C57" s="21">
        <f>180+360</f>
        <v>540</v>
      </c>
      <c r="D57" s="21">
        <v>360</v>
      </c>
      <c r="E57" s="29">
        <f>180000+360000</f>
        <v>540000</v>
      </c>
      <c r="F57" s="6">
        <f t="shared" si="20"/>
        <v>540</v>
      </c>
      <c r="G57" s="6">
        <f t="shared" si="21"/>
        <v>0</v>
      </c>
      <c r="H57" s="60"/>
      <c r="I57" s="60"/>
      <c r="J57" s="60"/>
      <c r="K57" s="60"/>
      <c r="L57" s="65"/>
      <c r="M57" s="65"/>
      <c r="N57" s="65"/>
      <c r="O57" s="155"/>
      <c r="P57" s="155"/>
      <c r="Q57" s="155"/>
      <c r="R57" s="155"/>
      <c r="S57" s="151">
        <f t="shared" si="48"/>
        <v>0</v>
      </c>
      <c r="T57" s="174"/>
      <c r="U57" s="174"/>
      <c r="V57" s="6"/>
      <c r="W57" s="6"/>
      <c r="X57" s="156"/>
      <c r="Y57" s="6"/>
      <c r="Z57" s="156"/>
      <c r="AA57" s="6"/>
      <c r="AB57" s="156"/>
    </row>
    <row r="58" spans="1:28" ht="16.899999999999999" customHeight="1">
      <c r="A58" s="45" t="s">
        <v>55</v>
      </c>
      <c r="B58" s="55" t="s">
        <v>56</v>
      </c>
      <c r="C58" s="33">
        <f>3208.7+534.9</f>
        <v>3743.6</v>
      </c>
      <c r="D58" s="34"/>
      <c r="E58" s="35">
        <f>3208759+534875</f>
        <v>3743634</v>
      </c>
      <c r="F58" s="6">
        <f>E58/1000</f>
        <v>3743.634</v>
      </c>
      <c r="G58" s="6">
        <f>F58-C58</f>
        <v>3.4000000000105501E-2</v>
      </c>
      <c r="H58" s="60"/>
      <c r="I58" s="60"/>
      <c r="J58" s="60"/>
      <c r="K58" s="60"/>
      <c r="L58" s="65">
        <v>124000</v>
      </c>
      <c r="M58" s="65"/>
      <c r="N58" s="65"/>
      <c r="O58" s="155"/>
      <c r="P58" s="155"/>
      <c r="Q58" s="155"/>
      <c r="R58" s="155"/>
      <c r="S58" s="151">
        <f t="shared" si="48"/>
        <v>0</v>
      </c>
      <c r="T58" s="174"/>
      <c r="U58" s="174"/>
      <c r="V58" s="6">
        <v>905</v>
      </c>
      <c r="W58" s="6"/>
      <c r="X58" s="156"/>
      <c r="Y58" s="6"/>
      <c r="Z58" s="156"/>
      <c r="AA58" s="6"/>
      <c r="AB58" s="156"/>
    </row>
    <row r="59" spans="1:28">
      <c r="C59" s="22">
        <f>C6</f>
        <v>864721.7</v>
      </c>
      <c r="D59" s="22">
        <f>D6</f>
        <v>360</v>
      </c>
      <c r="E59" s="22">
        <f>E6</f>
        <v>864721718.66999996</v>
      </c>
      <c r="F59" s="22">
        <f>F6</f>
        <v>832206.21461999987</v>
      </c>
      <c r="G59" s="22">
        <f>G6</f>
        <v>0.11462000000285499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6"/>
      <c r="W59" s="6"/>
      <c r="X59" s="156"/>
      <c r="Y59" s="6"/>
      <c r="Z59" s="156"/>
      <c r="AA59" s="6"/>
      <c r="AB59" s="156"/>
    </row>
    <row r="60" spans="1:28">
      <c r="C60" s="6">
        <f>C6-C59</f>
        <v>0</v>
      </c>
      <c r="D60" s="6">
        <f>D6-D59</f>
        <v>0</v>
      </c>
      <c r="E60" s="6">
        <f>E6-E59</f>
        <v>0</v>
      </c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6"/>
      <c r="W60" s="6"/>
      <c r="X60" s="156"/>
      <c r="Y60" s="6"/>
      <c r="Z60" s="156"/>
      <c r="AA60" s="6"/>
      <c r="AB60" s="156"/>
    </row>
    <row r="61" spans="1:28">
      <c r="A61" s="3" t="s">
        <v>137</v>
      </c>
      <c r="C61" s="6"/>
      <c r="D61" s="6"/>
      <c r="E61" s="6"/>
      <c r="H61" s="46">
        <v>0</v>
      </c>
      <c r="I61" s="46">
        <v>1</v>
      </c>
      <c r="J61" s="46"/>
      <c r="K61" s="46"/>
      <c r="L61" s="46">
        <f>L7</f>
        <v>26214000</v>
      </c>
      <c r="M61" s="46">
        <f t="shared" ref="M61:AB61" si="50">M7</f>
        <v>26214000</v>
      </c>
      <c r="N61" s="46">
        <f t="shared" si="50"/>
        <v>0</v>
      </c>
      <c r="O61" s="46">
        <f t="shared" si="50"/>
        <v>0</v>
      </c>
      <c r="P61" s="46">
        <f t="shared" si="50"/>
        <v>0</v>
      </c>
      <c r="Q61" s="46">
        <f t="shared" si="50"/>
        <v>0</v>
      </c>
      <c r="R61" s="46">
        <f t="shared" si="50"/>
        <v>0</v>
      </c>
      <c r="S61" s="46">
        <f t="shared" si="50"/>
        <v>0</v>
      </c>
      <c r="T61" s="46">
        <f t="shared" si="50"/>
        <v>0</v>
      </c>
      <c r="U61" s="46">
        <f t="shared" si="50"/>
        <v>0</v>
      </c>
      <c r="V61" s="46">
        <f t="shared" si="50"/>
        <v>906</v>
      </c>
      <c r="W61" s="46">
        <f t="shared" si="50"/>
        <v>0</v>
      </c>
      <c r="X61" s="46">
        <f t="shared" si="50"/>
        <v>26214000</v>
      </c>
      <c r="Y61" s="46">
        <f t="shared" si="50"/>
        <v>0</v>
      </c>
      <c r="Z61" s="46">
        <f t="shared" si="50"/>
        <v>0</v>
      </c>
      <c r="AA61" s="46">
        <f t="shared" si="50"/>
        <v>0</v>
      </c>
      <c r="AB61" s="46">
        <f t="shared" si="50"/>
        <v>0</v>
      </c>
    </row>
    <row r="62" spans="1:28">
      <c r="A62" s="3" t="s">
        <v>61</v>
      </c>
      <c r="C62" s="6"/>
      <c r="D62" s="6"/>
      <c r="E62" s="6"/>
      <c r="H62" s="46">
        <f>H21+H19+H29+H30+H31+H41+H42+H45+H46+H53+H7</f>
        <v>3325</v>
      </c>
      <c r="I62" s="46">
        <f>I21+I19+I29+I30+I31+I41+I42+I45+I46+I53+I7</f>
        <v>13244</v>
      </c>
      <c r="J62" s="46">
        <f>J21+J19+J29+J30+J31+J41+J42+J45+J46+J53+J7</f>
        <v>2221</v>
      </c>
      <c r="K62" s="46">
        <f>K21+K19+K29+K30+K31+K41+K42+K45+K46+K53+K7</f>
        <v>12180</v>
      </c>
      <c r="L62" s="103">
        <f>L21+L19+L29+L30+L31+L41+L42+L45+L46+L53+L44</f>
        <v>4458743.5999999996</v>
      </c>
      <c r="M62" s="103">
        <f t="shared" ref="M62:AB62" si="51">M21+M19+M29+M30+M31+M41+M42+M45+M46+M53+M44</f>
        <v>4446563.5999999996</v>
      </c>
      <c r="N62" s="103">
        <f t="shared" si="51"/>
        <v>2180</v>
      </c>
      <c r="O62" s="103">
        <f t="shared" si="51"/>
        <v>0</v>
      </c>
      <c r="P62" s="103">
        <f t="shared" si="51"/>
        <v>0</v>
      </c>
      <c r="Q62" s="103">
        <f t="shared" si="51"/>
        <v>4501921.05</v>
      </c>
      <c r="R62" s="103">
        <f t="shared" si="51"/>
        <v>2750000</v>
      </c>
      <c r="S62" s="103">
        <f t="shared" si="51"/>
        <v>4702166.04</v>
      </c>
      <c r="T62" s="103">
        <f t="shared" si="51"/>
        <v>2750000</v>
      </c>
      <c r="U62" s="103">
        <f t="shared" si="51"/>
        <v>2750000</v>
      </c>
      <c r="V62" s="103" t="e">
        <f t="shared" si="51"/>
        <v>#VALUE!</v>
      </c>
      <c r="W62" s="103">
        <f t="shared" si="51"/>
        <v>1060634.92</v>
      </c>
      <c r="X62" s="103">
        <f t="shared" si="51"/>
        <v>3398108.6799999997</v>
      </c>
      <c r="Y62" s="103">
        <f t="shared" si="51"/>
        <v>1094794.05</v>
      </c>
      <c r="Z62" s="103">
        <f t="shared" si="51"/>
        <v>3407127</v>
      </c>
      <c r="AA62" s="103">
        <f t="shared" si="51"/>
        <v>1250281.25</v>
      </c>
      <c r="AB62" s="103">
        <f t="shared" si="51"/>
        <v>3451884.79</v>
      </c>
    </row>
    <row r="63" spans="1:28">
      <c r="A63" s="3" t="s">
        <v>63</v>
      </c>
      <c r="H63" s="46">
        <f t="shared" ref="H63:K63" si="52">H51</f>
        <v>3104</v>
      </c>
      <c r="I63" s="46">
        <f t="shared" si="52"/>
        <v>5684</v>
      </c>
      <c r="J63" s="46">
        <f t="shared" si="52"/>
        <v>3954</v>
      </c>
      <c r="K63" s="46">
        <f t="shared" si="52"/>
        <v>5031</v>
      </c>
      <c r="L63" s="103">
        <f t="shared" ref="L63" si="53">L51</f>
        <v>13169800</v>
      </c>
      <c r="M63" s="103">
        <f t="shared" ref="M63:AB63" si="54">M51</f>
        <v>13164769</v>
      </c>
      <c r="N63" s="103">
        <f t="shared" si="54"/>
        <v>4385</v>
      </c>
      <c r="O63" s="103">
        <f t="shared" si="54"/>
        <v>0</v>
      </c>
      <c r="P63" s="103">
        <f t="shared" si="54"/>
        <v>0</v>
      </c>
      <c r="Q63" s="103">
        <f t="shared" si="54"/>
        <v>19253400</v>
      </c>
      <c r="R63" s="103">
        <f t="shared" si="54"/>
        <v>12204000</v>
      </c>
      <c r="S63" s="103">
        <f t="shared" si="54"/>
        <v>20252000</v>
      </c>
      <c r="T63" s="103">
        <f t="shared" si="54"/>
        <v>46725000</v>
      </c>
      <c r="U63" s="103">
        <f t="shared" si="54"/>
        <v>47429000</v>
      </c>
      <c r="V63" s="103">
        <f t="shared" si="54"/>
        <v>904</v>
      </c>
      <c r="W63" s="103">
        <f t="shared" si="54"/>
        <v>3473800</v>
      </c>
      <c r="X63" s="103">
        <f t="shared" si="54"/>
        <v>9696000</v>
      </c>
      <c r="Y63" s="103">
        <f t="shared" si="54"/>
        <v>5078400</v>
      </c>
      <c r="Z63" s="103">
        <f t="shared" si="54"/>
        <v>14175000</v>
      </c>
      <c r="AA63" s="103">
        <f t="shared" si="54"/>
        <v>5342000</v>
      </c>
      <c r="AB63" s="103">
        <f t="shared" si="54"/>
        <v>14910000</v>
      </c>
    </row>
    <row r="64" spans="1:28">
      <c r="A64" s="3" t="s">
        <v>60</v>
      </c>
      <c r="H64" s="46">
        <f>H15+H25+H26+H28+H38+H39+H40+H49+H50</f>
        <v>601453</v>
      </c>
      <c r="I64" s="46">
        <f>I15+I25+I26+I28+I38+I39+I40+I49+I50</f>
        <v>770705.8</v>
      </c>
      <c r="J64" s="46">
        <f>J15+J25+J26+J28+J38+J39+J40+J49+J50</f>
        <v>688970</v>
      </c>
      <c r="K64" s="46">
        <f>K15+K25+K26+K28+K38+K39+K40+K49+K50</f>
        <v>535811</v>
      </c>
      <c r="L64" s="103">
        <f>L15+L25+L26+L28+L38+L39+L40+L49+L50+L17+L55+L18</f>
        <v>873026254</v>
      </c>
      <c r="M64" s="103">
        <f t="shared" ref="M64:AB64" si="55">M15+M25+M26+M28+M38+M39+M40+M49+M50+M17+M55+M18</f>
        <v>834784443</v>
      </c>
      <c r="N64" s="103">
        <f t="shared" si="55"/>
        <v>408610</v>
      </c>
      <c r="O64" s="103">
        <f t="shared" si="55"/>
        <v>0</v>
      </c>
      <c r="P64" s="103">
        <f t="shared" si="55"/>
        <v>0</v>
      </c>
      <c r="Q64" s="103">
        <f t="shared" si="55"/>
        <v>906943857</v>
      </c>
      <c r="R64" s="103">
        <f t="shared" si="55"/>
        <v>939478000</v>
      </c>
      <c r="S64" s="103">
        <f t="shared" si="55"/>
        <v>909358062.99000001</v>
      </c>
      <c r="T64" s="103">
        <f t="shared" si="55"/>
        <v>898605000</v>
      </c>
      <c r="U64" s="103">
        <f t="shared" si="55"/>
        <v>978066000</v>
      </c>
      <c r="V64" s="103">
        <f t="shared" si="55"/>
        <v>10872</v>
      </c>
      <c r="W64" s="103">
        <f t="shared" si="55"/>
        <v>72418491</v>
      </c>
      <c r="X64" s="103">
        <f t="shared" si="55"/>
        <v>800607763</v>
      </c>
      <c r="Y64" s="103">
        <f t="shared" si="55"/>
        <v>69993733</v>
      </c>
      <c r="Z64" s="103">
        <f t="shared" si="55"/>
        <v>836950124</v>
      </c>
      <c r="AA64" s="103">
        <f t="shared" si="55"/>
        <v>96366708.879999995</v>
      </c>
      <c r="AB64" s="103">
        <f t="shared" si="55"/>
        <v>812991354.11000001</v>
      </c>
    </row>
    <row r="65" spans="1:28">
      <c r="A65" s="3" t="s">
        <v>64</v>
      </c>
      <c r="H65" s="46">
        <f>H20+H52+H56</f>
        <v>110</v>
      </c>
      <c r="I65" s="46">
        <f>I20+I52+I56</f>
        <v>4134.2</v>
      </c>
      <c r="J65" s="46">
        <f>J20+J52+J56</f>
        <v>110</v>
      </c>
      <c r="K65" s="46">
        <f>K20+K52+K56</f>
        <v>1111</v>
      </c>
      <c r="L65" s="103">
        <f t="shared" ref="L65" si="56">L20+L52+L32</f>
        <v>8800644.6400000006</v>
      </c>
      <c r="M65" s="103">
        <f t="shared" ref="M65:AB65" si="57">M20+M52+M32</f>
        <v>8800533.6400000006</v>
      </c>
      <c r="N65" s="103">
        <f t="shared" si="57"/>
        <v>111</v>
      </c>
      <c r="O65" s="103">
        <f t="shared" si="57"/>
        <v>0</v>
      </c>
      <c r="P65" s="103">
        <f t="shared" si="57"/>
        <v>0</v>
      </c>
      <c r="Q65" s="103">
        <f t="shared" si="57"/>
        <v>181995</v>
      </c>
      <c r="R65" s="103">
        <f t="shared" si="57"/>
        <v>92000</v>
      </c>
      <c r="S65" s="103">
        <f t="shared" si="57"/>
        <v>181995</v>
      </c>
      <c r="T65" s="103">
        <f t="shared" si="57"/>
        <v>92000</v>
      </c>
      <c r="U65" s="103">
        <f t="shared" si="57"/>
        <v>92000</v>
      </c>
      <c r="V65" s="103">
        <f t="shared" si="57"/>
        <v>2721</v>
      </c>
      <c r="W65" s="103">
        <f t="shared" si="57"/>
        <v>7814896</v>
      </c>
      <c r="X65" s="103">
        <f t="shared" si="57"/>
        <v>985748.64</v>
      </c>
      <c r="Y65" s="103">
        <f t="shared" si="57"/>
        <v>72896</v>
      </c>
      <c r="Z65" s="103">
        <f t="shared" si="57"/>
        <v>109099</v>
      </c>
      <c r="AA65" s="103">
        <f t="shared" si="57"/>
        <v>72896</v>
      </c>
      <c r="AB65" s="103">
        <f t="shared" si="57"/>
        <v>109099</v>
      </c>
    </row>
    <row r="66" spans="1:28">
      <c r="A66" s="3" t="s">
        <v>62</v>
      </c>
      <c r="H66" s="46">
        <f>H11+H22+H16+H47+H48</f>
        <v>1286</v>
      </c>
      <c r="I66" s="46">
        <f>I11+I22+I16+I47+I48</f>
        <v>42332</v>
      </c>
      <c r="J66" s="46">
        <f>J11+J22+J16+J47+J48</f>
        <v>1286</v>
      </c>
      <c r="K66" s="46">
        <f>K11+K22+K16+K47+K48</f>
        <v>2581</v>
      </c>
      <c r="L66" s="103">
        <f>L11+L22+L16+L47+L48+L56+L12+L27+L58+L43</f>
        <v>40139631.43</v>
      </c>
      <c r="M66" s="103">
        <f t="shared" ref="M66:AB66" si="58">M11+M22+M16+M47+M48+M56+M12+M27+M58+M43</f>
        <v>40012050.43</v>
      </c>
      <c r="N66" s="103">
        <f t="shared" si="58"/>
        <v>2649</v>
      </c>
      <c r="O66" s="103">
        <f t="shared" si="58"/>
        <v>0</v>
      </c>
      <c r="P66" s="103">
        <f t="shared" si="58"/>
        <v>0</v>
      </c>
      <c r="Q66" s="103">
        <f t="shared" si="58"/>
        <v>51965387.739999995</v>
      </c>
      <c r="R66" s="103">
        <f t="shared" si="58"/>
        <v>9571000</v>
      </c>
      <c r="S66" s="103">
        <f t="shared" si="58"/>
        <v>56284634.090000004</v>
      </c>
      <c r="T66" s="103">
        <f t="shared" si="58"/>
        <v>9922000</v>
      </c>
      <c r="U66" s="103">
        <f t="shared" si="58"/>
        <v>10305000</v>
      </c>
      <c r="V66" s="103" t="e">
        <f t="shared" si="58"/>
        <v>#VALUE!</v>
      </c>
      <c r="W66" s="103">
        <f t="shared" si="58"/>
        <v>12642043.119999999</v>
      </c>
      <c r="X66" s="103">
        <f t="shared" si="58"/>
        <v>27373588.309999999</v>
      </c>
      <c r="Y66" s="103">
        <f t="shared" si="58"/>
        <v>17165275.869999997</v>
      </c>
      <c r="Z66" s="103">
        <f t="shared" si="58"/>
        <v>34800111.870000005</v>
      </c>
      <c r="AA66" s="103">
        <f t="shared" si="58"/>
        <v>18635298.75</v>
      </c>
      <c r="AB66" s="103">
        <f t="shared" si="58"/>
        <v>37649335.340000004</v>
      </c>
    </row>
    <row r="67" spans="1:28"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6"/>
      <c r="W67" s="46"/>
      <c r="X67" s="103"/>
      <c r="Y67" s="46"/>
      <c r="Z67" s="103"/>
      <c r="AA67" s="46"/>
      <c r="AB67" s="103"/>
    </row>
    <row r="68" spans="1:28">
      <c r="H68" s="53">
        <f t="shared" ref="H68:W68" si="59">SUM(H61:H67)</f>
        <v>609278</v>
      </c>
      <c r="I68" s="53">
        <f t="shared" si="59"/>
        <v>836101</v>
      </c>
      <c r="J68" s="53">
        <f t="shared" si="59"/>
        <v>696541</v>
      </c>
      <c r="K68" s="53">
        <f t="shared" si="59"/>
        <v>556714</v>
      </c>
      <c r="L68" s="104">
        <f>SUM(L61:L67)</f>
        <v>965809073.66999996</v>
      </c>
      <c r="M68" s="104">
        <f t="shared" si="59"/>
        <v>927422359.66999996</v>
      </c>
      <c r="N68" s="104">
        <f t="shared" si="59"/>
        <v>417935</v>
      </c>
      <c r="O68" s="104"/>
      <c r="P68" s="104"/>
      <c r="Q68" s="104">
        <f t="shared" si="59"/>
        <v>982846560.78999996</v>
      </c>
      <c r="R68" s="104">
        <f t="shared" si="59"/>
        <v>964095000</v>
      </c>
      <c r="S68" s="104">
        <f t="shared" si="59"/>
        <v>990778858.12</v>
      </c>
      <c r="T68" s="104">
        <f t="shared" si="59"/>
        <v>958094000</v>
      </c>
      <c r="U68" s="104">
        <f t="shared" si="59"/>
        <v>1038642000</v>
      </c>
      <c r="V68" s="104" t="e">
        <f t="shared" si="59"/>
        <v>#VALUE!</v>
      </c>
      <c r="W68" s="104">
        <f t="shared" si="59"/>
        <v>97409865.040000007</v>
      </c>
      <c r="X68" s="104">
        <f>SUM(X61:X67)</f>
        <v>868275208.62999988</v>
      </c>
      <c r="Y68" s="104">
        <f t="shared" ref="Y68:AB68" si="60">SUM(Y61:Y67)</f>
        <v>93405098.919999987</v>
      </c>
      <c r="Z68" s="104">
        <f t="shared" si="60"/>
        <v>889441461.87</v>
      </c>
      <c r="AA68" s="104">
        <f t="shared" si="60"/>
        <v>121667184.88</v>
      </c>
      <c r="AB68" s="104">
        <f t="shared" si="60"/>
        <v>869111673.24000001</v>
      </c>
    </row>
    <row r="69" spans="1:28"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6"/>
      <c r="W69" s="46">
        <f>W68-W5</f>
        <v>0</v>
      </c>
      <c r="X69" s="46">
        <f t="shared" ref="X69:AB69" si="61">X68-X5</f>
        <v>0</v>
      </c>
      <c r="Y69" s="46">
        <f t="shared" si="61"/>
        <v>0</v>
      </c>
      <c r="Z69" s="46">
        <f t="shared" si="61"/>
        <v>0</v>
      </c>
      <c r="AA69" s="46">
        <f t="shared" si="61"/>
        <v>0</v>
      </c>
      <c r="AB69" s="46">
        <f t="shared" si="61"/>
        <v>0</v>
      </c>
    </row>
    <row r="70" spans="1:28"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6"/>
      <c r="W70" s="46"/>
      <c r="X70" s="103"/>
      <c r="Y70" s="46"/>
      <c r="Z70" s="103"/>
      <c r="AA70" s="46"/>
      <c r="AB70" s="103"/>
    </row>
    <row r="71" spans="1:28">
      <c r="A71" s="3">
        <v>0</v>
      </c>
      <c r="H71" s="46">
        <f>H68-H5</f>
        <v>0</v>
      </c>
      <c r="I71" s="46">
        <f>I68-I5</f>
        <v>1</v>
      </c>
      <c r="J71" s="46">
        <f>J68-J5</f>
        <v>0</v>
      </c>
      <c r="K71" s="46">
        <f>K68-K5</f>
        <v>11000</v>
      </c>
      <c r="L71" s="46">
        <f>L68-L5</f>
        <v>0</v>
      </c>
      <c r="M71" s="46">
        <f t="shared" ref="M71:Q71" si="62">M68-M5</f>
        <v>0</v>
      </c>
      <c r="N71" s="46">
        <f t="shared" si="62"/>
        <v>0</v>
      </c>
      <c r="O71" s="46"/>
      <c r="P71" s="46"/>
      <c r="Q71" s="46">
        <f t="shared" si="62"/>
        <v>0</v>
      </c>
      <c r="R71" s="46"/>
      <c r="S71" s="46">
        <f>S68-S5</f>
        <v>0</v>
      </c>
      <c r="T71" s="46"/>
      <c r="U71" s="46"/>
      <c r="V71" s="6"/>
      <c r="W71" s="46">
        <f t="shared" ref="W71:AB71" si="63">W68-W5</f>
        <v>0</v>
      </c>
      <c r="X71" s="103">
        <f t="shared" si="63"/>
        <v>0</v>
      </c>
      <c r="Y71" s="46">
        <f t="shared" si="63"/>
        <v>0</v>
      </c>
      <c r="Z71" s="103">
        <f t="shared" si="63"/>
        <v>0</v>
      </c>
      <c r="AA71" s="46">
        <f t="shared" si="63"/>
        <v>0</v>
      </c>
      <c r="AB71" s="103">
        <f t="shared" si="63"/>
        <v>0</v>
      </c>
    </row>
    <row r="72" spans="1:28"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156"/>
      <c r="Y72" s="6"/>
      <c r="Z72" s="156"/>
      <c r="AA72" s="6"/>
      <c r="AB72" s="156"/>
    </row>
    <row r="73" spans="1:28"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156"/>
      <c r="Y73" s="6"/>
      <c r="Z73" s="156"/>
      <c r="AA73" s="6"/>
      <c r="AB73" s="156"/>
    </row>
    <row r="74" spans="1:28"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156"/>
      <c r="Y74" s="6"/>
      <c r="Z74" s="156"/>
      <c r="AA74" s="6"/>
      <c r="AB74" s="156"/>
    </row>
    <row r="75" spans="1:28"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156"/>
      <c r="Y75" s="6"/>
      <c r="Z75" s="156"/>
      <c r="AA75" s="6"/>
      <c r="AB75" s="156"/>
    </row>
    <row r="76" spans="1:28"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156"/>
      <c r="Y76" s="6"/>
      <c r="Z76" s="156"/>
      <c r="AA76" s="6"/>
      <c r="AB76" s="156"/>
    </row>
    <row r="77" spans="1:28"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156"/>
      <c r="Y77" s="6"/>
      <c r="Z77" s="156"/>
      <c r="AA77" s="6"/>
      <c r="AB77" s="156"/>
    </row>
    <row r="78" spans="1:28"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156"/>
      <c r="Y78" s="6"/>
      <c r="Z78" s="156"/>
      <c r="AA78" s="6"/>
      <c r="AB78" s="156"/>
    </row>
    <row r="79" spans="1:28"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156"/>
      <c r="Y79" s="6"/>
      <c r="Z79" s="156"/>
      <c r="AA79" s="6"/>
      <c r="AB79" s="156"/>
    </row>
  </sheetData>
  <mergeCells count="3">
    <mergeCell ref="A1:S1"/>
    <mergeCell ref="A2:S2"/>
    <mergeCell ref="A3:S3"/>
  </mergeCells>
  <pageMargins left="0" right="0" top="0" bottom="0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20 год</vt:lpstr>
      <vt:lpstr>25-27года для ГРБС (первое  (2)</vt:lpstr>
      <vt:lpstr>25-27года для ГРБС (первое чтен</vt:lpstr>
      <vt:lpstr>25-27года уточн. ГРБСЧ 1 ЧТ. </vt:lpstr>
      <vt:lpstr>23-25года с федеральными</vt:lpstr>
      <vt:lpstr>22-25года 1 чтение)</vt:lpstr>
      <vt:lpstr>22-24года +</vt:lpstr>
      <vt:lpstr>'20 год'!Заголовки_для_печати</vt:lpstr>
      <vt:lpstr>'22-24года +'!Заголовки_для_печати</vt:lpstr>
      <vt:lpstr>'22-25года 1 чтение)'!Заголовки_для_печати</vt:lpstr>
      <vt:lpstr>'23-25года с федеральными'!Заголовки_для_печати</vt:lpstr>
      <vt:lpstr>'25-27года для ГРБС (первое  (2)'!Заголовки_для_печати</vt:lpstr>
      <vt:lpstr>'25-27года для ГРБС (первое чтен'!Заголовки_для_печати</vt:lpstr>
      <vt:lpstr>'25-27года уточн. ГРБСЧ 1 ЧТ.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2024-12-11T07:01:03Z</dcterms:modified>
</cp:coreProperties>
</file>